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9320" windowHeight="8085" tabRatio="582" activeTab="0"/>
  </bookViews>
  <sheets>
    <sheet name="DATA" sheetId="1" r:id="rId1"/>
    <sheet name="Proceeding" sheetId="2" r:id="rId2"/>
    <sheet name="Bill" sheetId="3" r:id="rId3"/>
    <sheet name="APTC-47" sheetId="4" r:id="rId4"/>
    <sheet name="Back 47" sheetId="5" r:id="rId5"/>
    <sheet name="Parer token &amp; 101" sheetId="6" r:id="rId6"/>
    <sheet name="Annexure 1 &amp;2" sheetId="7" r:id="rId7"/>
    <sheet name="P.Tax" sheetId="8" state="hidden" r:id="rId8"/>
    <sheet name="Sheet1" sheetId="9" state="hidden" r:id="rId9"/>
    <sheet name="CPS" sheetId="10" r:id="rId10"/>
  </sheets>
  <externalReferences>
    <externalReference r:id="rId13"/>
    <externalReference r:id="rId14"/>
    <externalReference r:id="rId15"/>
  </externalReferences>
  <definedNames>
    <definedName name="_xlnm._FilterDatabase" localSheetId="2" hidden="1">'Bill'!$AB$6:$AB$11</definedName>
    <definedName name="A105635">'DATA'!$A$45564</definedName>
    <definedName name="A145610">'DATA'!$45611:$56977</definedName>
    <definedName name="A405635">'DATA'!$A$45564</definedName>
    <definedName name="A455635">'DATA'!$A$45564</definedName>
    <definedName name="A95610">'DATA'!$45611:$56977</definedName>
    <definedName name="ap47c">'[1] '!$BN$21:$CD$33</definedName>
    <definedName name="azs12">'DATA'!$AA$13</definedName>
    <definedName name="kkp5">'DATA'!$AA$23</definedName>
    <definedName name="Numbers">#REF!</definedName>
    <definedName name="_xlnm.Print_Area" localSheetId="6">'Annexure 1 &amp;2'!$B$2:$M$49</definedName>
    <definedName name="_xlnm.Print_Area" localSheetId="3">'APTC-47'!$B$2:$Y$63</definedName>
    <definedName name="_xlnm.Print_Area" localSheetId="4">'Back 47'!$B$2:$N$52</definedName>
    <definedName name="_xlnm.Print_Area" localSheetId="2">'Bill'!$B$2:$Z$22</definedName>
    <definedName name="_xlnm.Print_Area" localSheetId="9">'CPS'!$B$2:$I$47</definedName>
    <definedName name="_xlnm.Print_Area" localSheetId="5">'Parer token &amp; 101'!$B$2:$AT$44</definedName>
    <definedName name="_xlnm.Print_Area" localSheetId="1">'Proceeding'!$B$2:$K$45</definedName>
    <definedName name="yxz45">'DATA'!$S$13</definedName>
    <definedName name="yyy12">'DATA'!$AA$13</definedName>
    <definedName name="Z_251BCA92_4A2D_4049_8601_34286741627A_.wvu.Rows" localSheetId="0" hidden="1">'DATA'!$92:$159</definedName>
    <definedName name="Z_404D0739_D685_4D16_97F7_FD0448EBF6FA_.wvu.Cols" localSheetId="2" hidden="1">'Bill'!$J:$J,'Bill'!$Q:$Q</definedName>
    <definedName name="Z_404D0739_D685_4D16_97F7_FD0448EBF6FA_.wvu.Cols" localSheetId="1" hidden="1">'Proceeding'!$N:$N</definedName>
    <definedName name="Z_404D0739_D685_4D16_97F7_FD0448EBF6FA_.wvu.FilterData" localSheetId="2" hidden="1">'Bill'!$B$2:$Z$12</definedName>
    <definedName name="Z_404D0739_D685_4D16_97F7_FD0448EBF6FA_.wvu.Rows" localSheetId="0" hidden="1">'DATA'!$97:$201</definedName>
    <definedName name="Z_41A2F7D9_820C_42B6_9554_4F6DCEAAE92D_.wvu.Cols" localSheetId="0" hidden="1">'DATA'!$Q:$AE,'DATA'!$AG:$IV</definedName>
    <definedName name="Z_41A2F7D9_820C_42B6_9554_4F6DCEAAE92D_.wvu.Rows" localSheetId="0" hidden="1">'DATA'!$18:$206,'DATA'!$208:$65536</definedName>
    <definedName name="Z_45332106_F8B0_418B_85FB_E7866DCCFF19_.wvu.Cols" localSheetId="0" hidden="1">'DATA'!$Q:$IV</definedName>
    <definedName name="Z_45332106_F8B0_418B_85FB_E7866DCCFF19_.wvu.Rows" localSheetId="0" hidden="1">'DATA'!$19:$65536</definedName>
    <definedName name="Z_63E57F7B_AFB9_4A4F_BEE9_A87886FE080E_.wvu.Cols" localSheetId="0" hidden="1">'DATA'!$Q:$IV</definedName>
    <definedName name="Z_63E57F7B_AFB9_4A4F_BEE9_A87886FE080E_.wvu.Rows" localSheetId="0" hidden="1">'DATA'!$19:$65536</definedName>
    <definedName name="Z_A4554EAF_6521_4F63_ACD6_CAABB50734DB_.wvu.Cols" localSheetId="2" hidden="1">'Bill'!$J:$J,'Bill'!$Q:$Q,'Bill'!$AA:$AA</definedName>
    <definedName name="Z_A4554EAF_6521_4F63_ACD6_CAABB50734DB_.wvu.Cols" localSheetId="1" hidden="1">'Proceeding'!$N:$N,'Proceeding'!$P:$P</definedName>
    <definedName name="Z_A4554EAF_6521_4F63_ACD6_CAABB50734DB_.wvu.FilterData" localSheetId="2" hidden="1">'Bill'!$AB$6:$AB$11</definedName>
    <definedName name="Z_A4554EAF_6521_4F63_ACD6_CAABB50734DB_.wvu.PrintArea" localSheetId="6" hidden="1">'Annexure 1 &amp;2'!$B$2:$M$49</definedName>
    <definedName name="Z_A4554EAF_6521_4F63_ACD6_CAABB50734DB_.wvu.PrintArea" localSheetId="3" hidden="1">'APTC-47'!$B$2:$Y$63</definedName>
    <definedName name="Z_A4554EAF_6521_4F63_ACD6_CAABB50734DB_.wvu.PrintArea" localSheetId="4" hidden="1">'Back 47'!$B$2:$N$52</definedName>
    <definedName name="Z_A4554EAF_6521_4F63_ACD6_CAABB50734DB_.wvu.PrintArea" localSheetId="2" hidden="1">'Bill'!$B$2:$Z$22</definedName>
    <definedName name="Z_A4554EAF_6521_4F63_ACD6_CAABB50734DB_.wvu.PrintArea" localSheetId="9" hidden="1">'CPS'!$B$2:$I$47</definedName>
    <definedName name="Z_A4554EAF_6521_4F63_ACD6_CAABB50734DB_.wvu.PrintArea" localSheetId="5" hidden="1">'Parer token &amp; 101'!$B$2:$AT$44</definedName>
    <definedName name="Z_A4554EAF_6521_4F63_ACD6_CAABB50734DB_.wvu.PrintArea" localSheetId="1" hidden="1">'Proceeding'!$B$2:$K$45</definedName>
    <definedName name="Z_A4554EAF_6521_4F63_ACD6_CAABB50734DB_.wvu.Rows" localSheetId="0" hidden="1">'DATA'!$85:$275</definedName>
    <definedName name="Z_D84037E5_C36B_4672_845B_BFC9A71450B2_.wvu.Cols" localSheetId="2" hidden="1">'Bill'!$J:$J,'Bill'!$Q:$Q,'Bill'!$AA:$AA</definedName>
    <definedName name="Z_D84037E5_C36B_4672_845B_BFC9A71450B2_.wvu.Cols" localSheetId="1" hidden="1">'Proceeding'!$N:$N,'Proceeding'!$P:$P</definedName>
    <definedName name="Z_D84037E5_C36B_4672_845B_BFC9A71450B2_.wvu.FilterData" localSheetId="2" hidden="1">'Bill'!$AB$6:$AB$11</definedName>
    <definedName name="Z_D84037E5_C36B_4672_845B_BFC9A71450B2_.wvu.PrintArea" localSheetId="6" hidden="1">'Annexure 1 &amp;2'!$B$2:$M$49</definedName>
    <definedName name="Z_D84037E5_C36B_4672_845B_BFC9A71450B2_.wvu.PrintArea" localSheetId="3" hidden="1">'APTC-47'!$B$2:$Y$63</definedName>
    <definedName name="Z_D84037E5_C36B_4672_845B_BFC9A71450B2_.wvu.PrintArea" localSheetId="4" hidden="1">'Back 47'!$B$2:$N$52</definedName>
    <definedName name="Z_D84037E5_C36B_4672_845B_BFC9A71450B2_.wvu.PrintArea" localSheetId="2" hidden="1">'Bill'!$B$2:$Z$22</definedName>
    <definedName name="Z_D84037E5_C36B_4672_845B_BFC9A71450B2_.wvu.PrintArea" localSheetId="9" hidden="1">'CPS'!$B$2:$I$47</definedName>
    <definedName name="Z_D84037E5_C36B_4672_845B_BFC9A71450B2_.wvu.PrintArea" localSheetId="5" hidden="1">'Parer token &amp; 101'!$B$2:$AT$44</definedName>
    <definedName name="Z_D84037E5_C36B_4672_845B_BFC9A71450B2_.wvu.PrintArea" localSheetId="1" hidden="1">'Proceeding'!$B$2:$K$45</definedName>
    <definedName name="Z_D84037E5_C36B_4672_845B_BFC9A71450B2_.wvu.Rows" localSheetId="0" hidden="1">'DATA'!$96:$220</definedName>
    <definedName name="Z_D85F6351_BA01_495F_8CC6_BC3F4FAC62D5_.wvu.Cols" localSheetId="2" hidden="1">'Bill'!$J:$J,'Bill'!$Q:$Q,'Bill'!$AA:$AA</definedName>
    <definedName name="Z_D85F6351_BA01_495F_8CC6_BC3F4FAC62D5_.wvu.Cols" localSheetId="1" hidden="1">'Proceeding'!$N:$N,'Proceeding'!$P:$P</definedName>
    <definedName name="Z_D85F6351_BA01_495F_8CC6_BC3F4FAC62D5_.wvu.FilterData" localSheetId="2" hidden="1">'Bill'!$AB$6:$AB$11</definedName>
    <definedName name="Z_D85F6351_BA01_495F_8CC6_BC3F4FAC62D5_.wvu.PrintArea" localSheetId="6" hidden="1">'Annexure 1 &amp;2'!$B$2:$M$49</definedName>
    <definedName name="Z_D85F6351_BA01_495F_8CC6_BC3F4FAC62D5_.wvu.PrintArea" localSheetId="3" hidden="1">'APTC-47'!$B$2:$Y$63</definedName>
    <definedName name="Z_D85F6351_BA01_495F_8CC6_BC3F4FAC62D5_.wvu.PrintArea" localSheetId="4" hidden="1">'Back 47'!$B$2:$N$52</definedName>
    <definedName name="Z_D85F6351_BA01_495F_8CC6_BC3F4FAC62D5_.wvu.PrintArea" localSheetId="2" hidden="1">'Bill'!$B$2:$Z$22</definedName>
    <definedName name="Z_D85F6351_BA01_495F_8CC6_BC3F4FAC62D5_.wvu.PrintArea" localSheetId="9" hidden="1">'CPS'!$B$2:$I$47</definedName>
    <definedName name="Z_D85F6351_BA01_495F_8CC6_BC3F4FAC62D5_.wvu.PrintArea" localSheetId="5" hidden="1">'Parer token &amp; 101'!$B$2:$AT$44</definedName>
    <definedName name="Z_D85F6351_BA01_495F_8CC6_BC3F4FAC62D5_.wvu.PrintArea" localSheetId="1" hidden="1">'Proceeding'!$B$2:$K$45</definedName>
    <definedName name="Z_D85F6351_BA01_495F_8CC6_BC3F4FAC62D5_.wvu.Rows" localSheetId="0" hidden="1">'DATA'!$85:$275</definedName>
    <definedName name="zyp2">'DATA'!$S$13</definedName>
    <definedName name="zyx1">'DATA'!$S$13</definedName>
  </definedNames>
  <calcPr fullCalcOnLoad="1"/>
</workbook>
</file>

<file path=xl/comments1.xml><?xml version="1.0" encoding="utf-8"?>
<comments xmlns="http://schemas.openxmlformats.org/spreadsheetml/2006/main">
  <authors>
    <author>cr</author>
  </authors>
  <commentList>
    <comment ref="I18" authorId="0">
      <text>
        <r>
          <rPr>
            <sz val="11"/>
            <color indexed="8"/>
            <rFont val="Calibri"/>
            <family val="2"/>
          </rPr>
          <t>cr:</t>
        </r>
        <r>
          <rPr>
            <sz val="11"/>
            <color theme="1"/>
            <rFont val="Calibri"/>
            <family val="2"/>
          </rPr>
          <t xml:space="preserve">
Enter Educational Qualification</t>
        </r>
      </text>
    </comment>
    <comment ref="J18" authorId="0">
      <text>
        <r>
          <rPr>
            <sz val="11"/>
            <color indexed="8"/>
            <rFont val="Calibri"/>
            <family val="2"/>
          </rPr>
          <t>cr:</t>
        </r>
        <r>
          <rPr>
            <sz val="11"/>
            <color theme="1"/>
            <rFont val="Calibri"/>
            <family val="2"/>
          </rPr>
          <t xml:space="preserve">
Enter Proffetional Qualification</t>
        </r>
      </text>
    </comment>
  </commentList>
</comments>
</file>

<file path=xl/comments10.xml><?xml version="1.0" encoding="utf-8"?>
<comments xmlns="http://schemas.openxmlformats.org/spreadsheetml/2006/main">
  <authors>
    <author>cr</author>
  </authors>
  <commentList>
    <comment ref="D8" authorId="0">
      <text>
        <r>
          <rPr>
            <sz val="11"/>
            <color indexed="8"/>
            <rFont val="Calibri"/>
            <family val="2"/>
          </rPr>
          <t>cr:</t>
        </r>
        <r>
          <rPr>
            <sz val="11"/>
            <color theme="1"/>
            <rFont val="Calibri"/>
            <family val="2"/>
          </rPr>
          <t xml:space="preserve">
Edit any change Head of Account CPS</t>
        </r>
      </text>
    </comment>
  </commentList>
</comments>
</file>

<file path=xl/comments3.xml><?xml version="1.0" encoding="utf-8"?>
<comments xmlns="http://schemas.openxmlformats.org/spreadsheetml/2006/main">
  <authors>
    <author>cr</author>
  </authors>
  <commentList>
    <comment ref="AB6" authorId="0">
      <text>
        <r>
          <rPr>
            <sz val="11"/>
            <color theme="1"/>
            <rFont val="Calibri"/>
            <family val="2"/>
          </rPr>
          <t xml:space="preserve">Blanck cell  remove, select </t>
        </r>
      </text>
    </comment>
  </commentList>
</comments>
</file>

<file path=xl/comments7.xml><?xml version="1.0" encoding="utf-8"?>
<comments xmlns="http://schemas.openxmlformats.org/spreadsheetml/2006/main">
  <authors>
    <author>cr</author>
  </authors>
  <commentList>
    <comment ref="E33" authorId="0">
      <text>
        <r>
          <rPr>
            <sz val="11"/>
            <color indexed="8"/>
            <rFont val="Calibri"/>
            <family val="2"/>
          </rPr>
          <t>cr:</t>
        </r>
        <r>
          <rPr>
            <sz val="11"/>
            <color theme="1"/>
            <rFont val="Calibri"/>
            <family val="2"/>
          </rPr>
          <t xml:space="preserve">
Link Bank Name Edit this Cell</t>
        </r>
      </text>
    </comment>
    <comment ref="E31" authorId="0">
      <text>
        <r>
          <rPr>
            <sz val="11"/>
            <color indexed="8"/>
            <rFont val="Calibri"/>
            <family val="2"/>
          </rPr>
          <t>cr:</t>
        </r>
        <r>
          <rPr>
            <sz val="11"/>
            <color theme="1"/>
            <rFont val="Calibri"/>
            <family val="2"/>
          </rPr>
          <t xml:space="preserve">
If any change DDO Name , Edit this cell</t>
        </r>
      </text>
    </comment>
  </commentList>
</comments>
</file>

<file path=xl/sharedStrings.xml><?xml version="1.0" encoding="utf-8"?>
<sst xmlns="http://schemas.openxmlformats.org/spreadsheetml/2006/main" count="795" uniqueCount="572">
  <si>
    <t>Designation</t>
  </si>
  <si>
    <t>Mandal</t>
  </si>
  <si>
    <t>District</t>
  </si>
  <si>
    <t>M.E.O</t>
  </si>
  <si>
    <t>Head Master</t>
  </si>
  <si>
    <t>Head Mistress</t>
  </si>
  <si>
    <t>Dy.Edu.Officer</t>
  </si>
  <si>
    <t>Jan</t>
  </si>
  <si>
    <t>Feb</t>
  </si>
  <si>
    <t>Mar</t>
  </si>
  <si>
    <t>Apr</t>
  </si>
  <si>
    <t>May</t>
  </si>
  <si>
    <t>Jun</t>
  </si>
  <si>
    <t>Jul</t>
  </si>
  <si>
    <t>Aug</t>
  </si>
  <si>
    <t>Sep</t>
  </si>
  <si>
    <t>Oct</t>
  </si>
  <si>
    <t>Nov</t>
  </si>
  <si>
    <t>Dec</t>
  </si>
  <si>
    <t>S.A.(P.S.)</t>
  </si>
  <si>
    <t>S.A.(B.S.)</t>
  </si>
  <si>
    <t>S.A.(S.S.)</t>
  </si>
  <si>
    <t>S.A.(ENG)</t>
  </si>
  <si>
    <t>S.A.(TEL)</t>
  </si>
  <si>
    <t>S.A.(HIN)</t>
  </si>
  <si>
    <t>S.G.T.</t>
  </si>
  <si>
    <t>L.F.L.(H.M.)</t>
  </si>
  <si>
    <t>Gr.II(DRAW)</t>
  </si>
  <si>
    <t>S.A(P.D)</t>
  </si>
  <si>
    <t>DOJ</t>
  </si>
  <si>
    <t>SG</t>
  </si>
  <si>
    <t>SPP-IA</t>
  </si>
  <si>
    <t>SPP-II</t>
  </si>
  <si>
    <t>SGT</t>
  </si>
  <si>
    <t>10900-31550</t>
  </si>
  <si>
    <t>11530-33200</t>
  </si>
  <si>
    <t>14860-39540</t>
  </si>
  <si>
    <t>15280-40510</t>
  </si>
  <si>
    <t>SA</t>
  </si>
  <si>
    <t>18030-43630</t>
  </si>
  <si>
    <t>19050-45850</t>
  </si>
  <si>
    <t>21820-48160</t>
  </si>
  <si>
    <t>COY</t>
  </si>
  <si>
    <t>Kurnool</t>
  </si>
  <si>
    <t>Days</t>
  </si>
  <si>
    <t>SPP-IB</t>
  </si>
  <si>
    <t>Pay</t>
  </si>
  <si>
    <t>Disgnation</t>
  </si>
  <si>
    <t>Yes</t>
  </si>
  <si>
    <t>No</t>
  </si>
  <si>
    <t>PET</t>
  </si>
  <si>
    <t>Exempted</t>
  </si>
  <si>
    <t>Date of Birth</t>
  </si>
  <si>
    <t>B.A</t>
  </si>
  <si>
    <t>Inter</t>
  </si>
  <si>
    <t>B.Sc</t>
  </si>
  <si>
    <t>B.Com</t>
  </si>
  <si>
    <t>Vidvan</t>
  </si>
  <si>
    <t>M.Sc</t>
  </si>
  <si>
    <t>M.A</t>
  </si>
  <si>
    <t>M.Com</t>
  </si>
  <si>
    <t>(                    )</t>
  </si>
  <si>
    <t>T.T.C</t>
  </si>
  <si>
    <t>B.Ed</t>
  </si>
  <si>
    <t>D.Ed</t>
  </si>
  <si>
    <t>H.P.T</t>
  </si>
  <si>
    <t>T.P.T</t>
  </si>
  <si>
    <t>B.P.Ed</t>
  </si>
  <si>
    <t>M.Ed</t>
  </si>
  <si>
    <t>(                   )</t>
  </si>
  <si>
    <t>Sub:</t>
  </si>
  <si>
    <t>Ref:</t>
  </si>
  <si>
    <t>1.G.O.Ms.No. 96. Dt. 20/05/2011</t>
  </si>
  <si>
    <t>2.G.O.(P) No . 52 /Fin and Planning(FW:PC-1) Dept.,Dt. 25/02/2010</t>
  </si>
  <si>
    <t>3.G.O.Ms.No. 38. Dt. 26/05/2007</t>
  </si>
  <si>
    <t>4.Proposals of the Individual</t>
  </si>
  <si>
    <t>:</t>
  </si>
  <si>
    <t>TOTAL</t>
  </si>
  <si>
    <t>Total</t>
  </si>
  <si>
    <t>Non-Drawn Certificate:</t>
  </si>
  <si>
    <t>The Claims made in this bill are not clamed earlier and now same has entered in concerned Pay Bill register to avoid double claim in the future</t>
  </si>
  <si>
    <t>DDO Signature</t>
  </si>
  <si>
    <t>1)</t>
  </si>
  <si>
    <t>2)</t>
  </si>
  <si>
    <t>(For Treasury Use Only)</t>
  </si>
  <si>
    <t>Pay Bill for the Month &amp; Year</t>
  </si>
  <si>
    <t>DATE:  _____________</t>
  </si>
  <si>
    <t xml:space="preserve">Treasury / P.A.O Code </t>
  </si>
  <si>
    <t xml:space="preserve">Trans ID: </t>
  </si>
  <si>
    <t xml:space="preserve">D.D.O.Code </t>
  </si>
  <si>
    <t>DDO Designation</t>
  </si>
  <si>
    <t>DDO OFFICE NAME :</t>
  </si>
  <si>
    <t>BANK CODE</t>
  </si>
  <si>
    <t>BANK NAME:</t>
  </si>
  <si>
    <t>DDOs TBR No.</t>
  </si>
  <si>
    <t>Head of Account</t>
  </si>
  <si>
    <t>Deducations</t>
  </si>
  <si>
    <t>Amount</t>
  </si>
  <si>
    <t xml:space="preserve">Major Head </t>
  </si>
  <si>
    <t>Rs.</t>
  </si>
  <si>
    <t>Sub Major</t>
  </si>
  <si>
    <t>APGLI</t>
  </si>
  <si>
    <t xml:space="preserve">Minor Head </t>
  </si>
  <si>
    <t>Group Insurance/AIS</t>
  </si>
  <si>
    <t>Group Sub-Head</t>
  </si>
  <si>
    <t>Professional Tax</t>
  </si>
  <si>
    <t>Sub Head</t>
  </si>
  <si>
    <t>House Rent</t>
  </si>
  <si>
    <t>Detail Head</t>
  </si>
  <si>
    <t>Salaries</t>
  </si>
  <si>
    <t>Festival Adv.&amp;APCO Adv.</t>
  </si>
  <si>
    <t>Educational Adv.</t>
  </si>
  <si>
    <t>HBA (P)</t>
  </si>
  <si>
    <t>Non-plan=N/Plan=P</t>
  </si>
  <si>
    <t>N</t>
  </si>
  <si>
    <t>Charged=C/Voted=V</t>
  </si>
  <si>
    <t>V</t>
  </si>
  <si>
    <t>HBA (I)</t>
  </si>
  <si>
    <t>Contingency Fund/MH</t>
  </si>
  <si>
    <t>Car Adv.(P)</t>
  </si>
  <si>
    <t>Service Major Head</t>
  </si>
  <si>
    <t>Car Adv.(I)</t>
  </si>
  <si>
    <t>Motor Cycle Adv.(P)</t>
  </si>
  <si>
    <t>Motor Cycle Adv.(I)</t>
  </si>
  <si>
    <t>011 - Pay</t>
  </si>
  <si>
    <t>Cycle Adv.</t>
  </si>
  <si>
    <t>012-   Allowances</t>
  </si>
  <si>
    <t>Marriage Adv.(P)</t>
  </si>
  <si>
    <t>013 - Dearness Allowances</t>
  </si>
  <si>
    <t>Marriage Adv.(I)</t>
  </si>
  <si>
    <t>015-   I.R.</t>
  </si>
  <si>
    <t>Income Tax</t>
  </si>
  <si>
    <t>016-   H.R.A.</t>
  </si>
  <si>
    <t>Class IV GPF- D.T.O</t>
  </si>
  <si>
    <t>EWF Loan</t>
  </si>
  <si>
    <t>Total Govt. Deducations</t>
  </si>
  <si>
    <t xml:space="preserve">Gross Total </t>
  </si>
  <si>
    <t>Total Non-Govt.Deducations</t>
  </si>
  <si>
    <t>Less Govt. Deductions</t>
  </si>
  <si>
    <t>A.G.Nett Amount</t>
  </si>
  <si>
    <t xml:space="preserve">A.G.Nett Amount in words </t>
  </si>
  <si>
    <t>Drawing Officer</t>
  </si>
  <si>
    <t>FOR USE IN TREASURY / PAY &amp; ACCOUNTS OFFICE ONLY</t>
  </si>
  <si>
    <t xml:space="preserve">_________________ </t>
  </si>
  <si>
    <t xml:space="preserve">_______________________________________________________ Only) by Cash / Cheque / Draft / </t>
  </si>
  <si>
    <t>Account credit as under and Rs________________________________________________________</t>
  </si>
  <si>
    <t>____________________________________________ only) by adjustment.</t>
  </si>
  <si>
    <t>1.Rs._________________ by transfer credit to the SB Accounts of the Employees (as per Annexure-I)</t>
  </si>
  <si>
    <t>2.Rs._________________ by transfer credit to the DDO Account towards of Non-Govt.Deducations.</t>
  </si>
  <si>
    <t>Rs</t>
  </si>
  <si>
    <t>Treasury Officer / Pay &amp; Accounts Officer</t>
  </si>
  <si>
    <t>District  :</t>
  </si>
  <si>
    <t xml:space="preserve"> / 2012-13</t>
  </si>
  <si>
    <t>Date:</t>
  </si>
  <si>
    <t>Bank Branch Code</t>
  </si>
  <si>
    <t>APTC FORM 101</t>
  </si>
  <si>
    <t>PAPER TOKEN</t>
  </si>
  <si>
    <t>(See subsidiary Rule 2(W) under Treasury Rule 15:
Govt. Memo No.38907/ Accounts / 65 /5, Dt:21-02-1963)</t>
  </si>
  <si>
    <t>STO Code</t>
  </si>
  <si>
    <t>Date</t>
  </si>
  <si>
    <t>DDO Cede:</t>
  </si>
  <si>
    <t>Treasury/PAO Code</t>
  </si>
  <si>
    <t>STO Name</t>
  </si>
  <si>
    <t>DDO Code</t>
  </si>
  <si>
    <t>Trans ID</t>
  </si>
  <si>
    <t>Treasury / PAO Name</t>
  </si>
  <si>
    <t>Name:</t>
  </si>
  <si>
    <t>To</t>
  </si>
  <si>
    <t>The Treasury Officer / Manager</t>
  </si>
  <si>
    <t>(Sub-MH)</t>
  </si>
  <si>
    <t>(Minor Head)</t>
  </si>
  <si>
    <t>(Grp-SH)</t>
  </si>
  <si>
    <t>Please Pay Bill No.</t>
  </si>
  <si>
    <t>dated</t>
  </si>
  <si>
    <t>for Rs.</t>
  </si>
  <si>
    <t>(Sub Head)</t>
  </si>
  <si>
    <t>(Det. Head)</t>
  </si>
  <si>
    <t>(Sub Det. Head)</t>
  </si>
  <si>
    <t>(Rupees in words</t>
  </si>
  <si>
    <t xml:space="preserve">Non - Plan </t>
  </si>
  <si>
    <t>=</t>
  </si>
  <si>
    <t>Changed = C</t>
  </si>
  <si>
    <t xml:space="preserve">Contingency Fund </t>
  </si>
  <si>
    <t>Voted = V</t>
  </si>
  <si>
    <t>MH / Service Major Head</t>
  </si>
  <si>
    <t xml:space="preserve">the Smt/Sri </t>
  </si>
  <si>
    <t>for the office</t>
  </si>
  <si>
    <t>of the</t>
  </si>
  <si>
    <t>whose speciemem</t>
  </si>
  <si>
    <t>Gross Rs.</t>
  </si>
  <si>
    <t>Deductions Rs.</t>
  </si>
  <si>
    <t>Net Rs.</t>
  </si>
  <si>
    <t>signature is attested herewith.</t>
  </si>
  <si>
    <t>(Net Rupees</t>
  </si>
  <si>
    <t>Messenger Neme</t>
  </si>
  <si>
    <t>Designation:</t>
  </si>
  <si>
    <t>(As in APTC Form - 101)</t>
  </si>
  <si>
    <t>Signature of the Govt. Servant</t>
  </si>
  <si>
    <t>Received the payment</t>
  </si>
  <si>
    <t>Specimen Signature of Messenger</t>
  </si>
  <si>
    <t>Dated:</t>
  </si>
  <si>
    <t>Attested</t>
  </si>
  <si>
    <t>Signature of the DDO</t>
  </si>
  <si>
    <t>Signature of the Govt.</t>
  </si>
  <si>
    <t>STO Signature</t>
  </si>
  <si>
    <t>Servant receiving the Payment</t>
  </si>
  <si>
    <t>Teaching Grant to Mandal Praja Parishad</t>
  </si>
  <si>
    <t>BUDGET</t>
  </si>
  <si>
    <t>1.</t>
  </si>
  <si>
    <t>2.</t>
  </si>
  <si>
    <t>Total Expenditure including this Bill</t>
  </si>
  <si>
    <t>3.</t>
  </si>
  <si>
    <t>Balance</t>
  </si>
  <si>
    <t>This bill amount Rs.</t>
  </si>
  <si>
    <t xml:space="preserve"> paid by cash / cheque / draft adjust to account.</t>
  </si>
  <si>
    <t>Received Cash</t>
  </si>
  <si>
    <t>REQUIRED CERTIFICATES</t>
  </si>
  <si>
    <t>Certified That the amount claimed in this bill has not been already drawn and paid previously.</t>
  </si>
  <si>
    <t>Certified that if any excess amount is paid due to the fixation the same will be recovered from the</t>
  </si>
  <si>
    <t>Certified that the note of arrears claims has been carried in the respective copies office bill register .</t>
  </si>
  <si>
    <t>Certified that the necessary fixation entries have been made in the service register of the individual.</t>
  </si>
  <si>
    <t>Certified that the pay is fixed in terms of G.O.Ms. NO.52 Finance Dept.,dated.25-02-2010</t>
  </si>
  <si>
    <t>Certified that the H.R.A. is claimed in terms of G.O.Ms.No.64 Finance Dept.,dated : 09-03-2010</t>
  </si>
  <si>
    <t>dated :7/4/2010</t>
  </si>
  <si>
    <t xml:space="preserve">Certified that the City Compensatory Allowance (CCA) is claimed in terms of G.O.M.S No.65 </t>
  </si>
  <si>
    <t>Finance  Dept.,dated :3/9/2010</t>
  </si>
  <si>
    <t>dated :7/04/2010</t>
  </si>
  <si>
    <t>DRAWING OFFICER</t>
  </si>
  <si>
    <t>For the use Of  Accountant  General  Office</t>
  </si>
  <si>
    <t>ANNEXURE-I</t>
  </si>
  <si>
    <t>(To be furnished by the DDO in triplicate)</t>
  </si>
  <si>
    <t>For the Month of</t>
  </si>
  <si>
    <t>Sl.          No</t>
  </si>
  <si>
    <t>Employee Id.No.</t>
  </si>
  <si>
    <t>Name</t>
  </si>
  <si>
    <t>A/C No.</t>
  </si>
  <si>
    <t>Net</t>
  </si>
  <si>
    <t xml:space="preserve">Net Rs. in words :  </t>
  </si>
  <si>
    <t>DDO Signature with seal</t>
  </si>
  <si>
    <t>Signature of T.O with seal</t>
  </si>
  <si>
    <t>ANNEXURE - II</t>
  </si>
  <si>
    <t>Notified Link Bank Report</t>
  </si>
  <si>
    <t>To be furnished by the DDO in triplicate</t>
  </si>
  <si>
    <t xml:space="preserve">DDO CODE  </t>
  </si>
  <si>
    <t>(For Treasury use only)</t>
  </si>
  <si>
    <t xml:space="preserve">DDO Name </t>
  </si>
  <si>
    <t xml:space="preserve">Date : </t>
  </si>
  <si>
    <t>Trans ID :</t>
  </si>
  <si>
    <t>Sl.No.</t>
  </si>
  <si>
    <t>Name of the NPB</t>
  </si>
  <si>
    <t>Purpose</t>
  </si>
  <si>
    <t>Amount to be credited</t>
  </si>
  <si>
    <t>D.A</t>
  </si>
  <si>
    <t>S.No.</t>
  </si>
  <si>
    <t>Month &amp; Year</t>
  </si>
  <si>
    <t>H.R.A</t>
  </si>
  <si>
    <t>To be drawn</t>
  </si>
  <si>
    <t>Basic Pay</t>
  </si>
  <si>
    <t xml:space="preserve"> PT to be paid</t>
  </si>
  <si>
    <t xml:space="preserve"> PT already paid</t>
  </si>
  <si>
    <t>Differance</t>
  </si>
  <si>
    <t xml:space="preserve"> PT difference</t>
  </si>
  <si>
    <t>Net payable</t>
  </si>
  <si>
    <t>Bill month</t>
  </si>
  <si>
    <t>MPP School</t>
  </si>
  <si>
    <t>MPUP School</t>
  </si>
  <si>
    <t>ZPH School</t>
  </si>
  <si>
    <t>ZPH School(             )</t>
  </si>
  <si>
    <t>Govt. Primary School</t>
  </si>
  <si>
    <t>Govt. UP School</t>
  </si>
  <si>
    <t>Govt. High School</t>
  </si>
  <si>
    <t>G.P.F/PF</t>
  </si>
  <si>
    <t>STO, Pathikonda</t>
  </si>
  <si>
    <t>One</t>
  </si>
  <si>
    <t xml:space="preserve">Two </t>
  </si>
  <si>
    <t>Three</t>
  </si>
  <si>
    <t>Four</t>
  </si>
  <si>
    <t>Five</t>
  </si>
  <si>
    <t>Six</t>
  </si>
  <si>
    <t>Seven</t>
  </si>
  <si>
    <t>Eight</t>
  </si>
  <si>
    <t>Nine</t>
  </si>
  <si>
    <t>Ten</t>
  </si>
  <si>
    <t>Eleven</t>
  </si>
  <si>
    <t>Twelve</t>
  </si>
  <si>
    <t>Thirteen</t>
  </si>
  <si>
    <t>Fourteen</t>
  </si>
  <si>
    <t>Fifteen</t>
  </si>
  <si>
    <t>Sixteen</t>
  </si>
  <si>
    <t>Seventeen</t>
  </si>
  <si>
    <t>Eighteen</t>
  </si>
  <si>
    <t>Nineteen</t>
  </si>
  <si>
    <t>Twenty</t>
  </si>
  <si>
    <t>Twenty One</t>
  </si>
  <si>
    <t>Twenty Two</t>
  </si>
  <si>
    <t>Twenty Three</t>
  </si>
  <si>
    <t>Twenty Four</t>
  </si>
  <si>
    <t>Twenty Five</t>
  </si>
  <si>
    <t>Twenty Six</t>
  </si>
  <si>
    <t>Twenty Seven</t>
  </si>
  <si>
    <t>Twenty Eight</t>
  </si>
  <si>
    <t xml:space="preserve">Twenty Nine </t>
  </si>
  <si>
    <t xml:space="preserve">Thirty </t>
  </si>
  <si>
    <t>Thirty One</t>
  </si>
  <si>
    <t>Thirty Two</t>
  </si>
  <si>
    <t>Thirty Three</t>
  </si>
  <si>
    <t>Thirty Four</t>
  </si>
  <si>
    <t>Thirty Five</t>
  </si>
  <si>
    <t>Thirty Six</t>
  </si>
  <si>
    <t>Thirty Seven</t>
  </si>
  <si>
    <t xml:space="preserve">Thirty Eight </t>
  </si>
  <si>
    <t>Thirty Nine</t>
  </si>
  <si>
    <t>Fourty</t>
  </si>
  <si>
    <t>Fourty One</t>
  </si>
  <si>
    <t>Fourty Two</t>
  </si>
  <si>
    <t>Fourty Three</t>
  </si>
  <si>
    <t>Fourty Four</t>
  </si>
  <si>
    <t>Fourty Five</t>
  </si>
  <si>
    <t>Fourty Six</t>
  </si>
  <si>
    <t>Fourty Seven</t>
  </si>
  <si>
    <t>Fourty Eight</t>
  </si>
  <si>
    <t>Fourty Nine</t>
  </si>
  <si>
    <t>Fifty</t>
  </si>
  <si>
    <t>Fifty One</t>
  </si>
  <si>
    <t>Fifty Two</t>
  </si>
  <si>
    <t>Fifty Three</t>
  </si>
  <si>
    <t>Fifty Four</t>
  </si>
  <si>
    <t>Fifty Five</t>
  </si>
  <si>
    <t>Fifty Six</t>
  </si>
  <si>
    <t>Fifty Seven</t>
  </si>
  <si>
    <t>Fifty Eight</t>
  </si>
  <si>
    <t>Fifty Nine</t>
  </si>
  <si>
    <t xml:space="preserve">Sixty </t>
  </si>
  <si>
    <t>Sixty One</t>
  </si>
  <si>
    <t>Sixty Two</t>
  </si>
  <si>
    <t>Sixty Three</t>
  </si>
  <si>
    <t>Sixty Four</t>
  </si>
  <si>
    <t>Sixty Five</t>
  </si>
  <si>
    <t>Sixty Six</t>
  </si>
  <si>
    <t>Sixty Seven</t>
  </si>
  <si>
    <t>Sixty Eight</t>
  </si>
  <si>
    <t>Sixty Nine</t>
  </si>
  <si>
    <t>Seventy</t>
  </si>
  <si>
    <t>Seventy One</t>
  </si>
  <si>
    <t>Seventy Two</t>
  </si>
  <si>
    <t>Seventy Three</t>
  </si>
  <si>
    <t>Seventy Four</t>
  </si>
  <si>
    <t>Seventy Five</t>
  </si>
  <si>
    <t>Seventy Six</t>
  </si>
  <si>
    <t>Seventy Seven</t>
  </si>
  <si>
    <t>Seventy Eight</t>
  </si>
  <si>
    <t>Seventy Nine</t>
  </si>
  <si>
    <t>Eighty</t>
  </si>
  <si>
    <t>Eighty One</t>
  </si>
  <si>
    <t>Eighty Two</t>
  </si>
  <si>
    <t>Eighty Three</t>
  </si>
  <si>
    <t>Eighty Four</t>
  </si>
  <si>
    <t>Eighty Five</t>
  </si>
  <si>
    <t>Eighty Six</t>
  </si>
  <si>
    <t>Eighty Seven</t>
  </si>
  <si>
    <t>Eighty Eight</t>
  </si>
  <si>
    <t>Eighty Nine</t>
  </si>
  <si>
    <t>Ninty</t>
  </si>
  <si>
    <t>Ninty One</t>
  </si>
  <si>
    <t xml:space="preserve">Ninty Two </t>
  </si>
  <si>
    <t>Ninty Three</t>
  </si>
  <si>
    <t>Ninty Four</t>
  </si>
  <si>
    <t>Ninty Five</t>
  </si>
  <si>
    <t>Ninty Six</t>
  </si>
  <si>
    <t>Ninty Seven</t>
  </si>
  <si>
    <t>Ninty Eight</t>
  </si>
  <si>
    <t>Ninty Nine</t>
  </si>
  <si>
    <t>Lakhs</t>
  </si>
  <si>
    <t>Thousands</t>
  </si>
  <si>
    <t>Hundred</t>
  </si>
  <si>
    <t>Secondary Education</t>
  </si>
  <si>
    <t>AAS</t>
  </si>
  <si>
    <t>DA</t>
  </si>
  <si>
    <t>HRA</t>
  </si>
  <si>
    <t>Assistance to Local Bodies for Primary Education</t>
  </si>
  <si>
    <t>Elementry Education</t>
  </si>
  <si>
    <t>Assistance to Local Bodies for Secondary Education</t>
  </si>
  <si>
    <t>Teaching Grant to Zilla Praja Parishads</t>
  </si>
  <si>
    <t>Government Primary Schools</t>
  </si>
  <si>
    <t>Government Secondary Schools</t>
  </si>
  <si>
    <t>sub m h</t>
  </si>
  <si>
    <t>educ</t>
  </si>
  <si>
    <t>minnr h</t>
  </si>
  <si>
    <t>sub h</t>
  </si>
  <si>
    <t>Teaching Grant to Govt. Primary Schools</t>
  </si>
  <si>
    <t>Teaching Grant to Govt. Secondary Schools</t>
  </si>
  <si>
    <t>Net Rs. in Words:</t>
  </si>
  <si>
    <t>Depertment test passed</t>
  </si>
  <si>
    <t>GHM</t>
  </si>
  <si>
    <t>Years</t>
  </si>
  <si>
    <t>Already drawn</t>
  </si>
  <si>
    <t>Name of the Employee</t>
  </si>
  <si>
    <t>Place of working</t>
  </si>
  <si>
    <t>Jonnagiri</t>
  </si>
  <si>
    <t>Tuggali</t>
  </si>
  <si>
    <t>Employee Id No.</t>
  </si>
  <si>
    <t>Bill prepared Month</t>
  </si>
  <si>
    <t xml:space="preserve">Name of the Proceedings </t>
  </si>
  <si>
    <t>Name of the Mandal</t>
  </si>
  <si>
    <t xml:space="preserve">Name of the DDO </t>
  </si>
  <si>
    <t>Sub-Treasury Name</t>
  </si>
  <si>
    <t>Treasury code</t>
  </si>
  <si>
    <t xml:space="preserve">Bank Name </t>
  </si>
  <si>
    <t>Bank Code</t>
  </si>
  <si>
    <t>Messenger Name</t>
  </si>
  <si>
    <t>P.Prakash</t>
  </si>
  <si>
    <t>Employee Bank Account No.</t>
  </si>
  <si>
    <t>DDO office Name</t>
  </si>
  <si>
    <t>DDO qualification</t>
  </si>
  <si>
    <t>DDO H.Q(Place)</t>
  </si>
  <si>
    <t>Date of  Joining Present Cadre</t>
  </si>
  <si>
    <t xml:space="preserve">Basic Pay on Completion of AAS Date  </t>
  </si>
  <si>
    <t>Employee Qualification</t>
  </si>
  <si>
    <t>COD</t>
  </si>
  <si>
    <t>complete of AAS</t>
  </si>
  <si>
    <t>w.e.f   AAS</t>
  </si>
  <si>
    <t>Month ending</t>
  </si>
  <si>
    <t>Days difference</t>
  </si>
  <si>
    <t>AOL</t>
  </si>
  <si>
    <t>Months</t>
  </si>
  <si>
    <t>R.C.No:</t>
  </si>
  <si>
    <t>ORDER:</t>
  </si>
  <si>
    <t>Date of Joining in the Present Cadre</t>
  </si>
  <si>
    <t>Date of Next Increment as per R 31(2) (Normal Inc. Date )</t>
  </si>
  <si>
    <t>Acadamic &amp; Professional Qualifications</t>
  </si>
  <si>
    <t>Whether Depatmental Tests Passed</t>
  </si>
  <si>
    <t>Copy to :</t>
  </si>
  <si>
    <t>Desig</t>
  </si>
  <si>
    <t>AAS pay</t>
  </si>
  <si>
    <t>N.P</t>
  </si>
  <si>
    <t>N PT</t>
  </si>
  <si>
    <t>O.P</t>
  </si>
  <si>
    <t>O.PT</t>
  </si>
  <si>
    <t>P.diff</t>
  </si>
  <si>
    <t>DA.diff</t>
  </si>
  <si>
    <t>HRA. Diff</t>
  </si>
  <si>
    <t>TOTAL.diff</t>
  </si>
  <si>
    <t>PT.diff</t>
  </si>
  <si>
    <t>NET</t>
  </si>
  <si>
    <t>**************</t>
  </si>
  <si>
    <t>your age</t>
  </si>
  <si>
    <t>your service</t>
  </si>
  <si>
    <t>Your present Age→</t>
  </si>
  <si>
    <t xml:space="preserve"> Your Completed service →</t>
  </si>
  <si>
    <t>1. The individual concern</t>
  </si>
  <si>
    <t>PROFESSIONAL TAX RECOVERY SCHEDULE</t>
  </si>
  <si>
    <t xml:space="preserve">PT SCHEDULE OF DEDUCTION UNDER 0028 OTHER TAX ON INCOME        </t>
  </si>
  <si>
    <t>AND EXPENDITURE 107 TAXES ON PROFFESSIONS TRADES CALLINGS AND EMPLOYEMENT 01 TAX COLLECTIONS.</t>
  </si>
  <si>
    <t>Employee Id</t>
  </si>
  <si>
    <t>Subscription</t>
  </si>
  <si>
    <t>Rupees in Words   :</t>
  </si>
  <si>
    <t>Month of -</t>
  </si>
  <si>
    <t>DOB</t>
  </si>
  <si>
    <t>S.A.(Maths)</t>
  </si>
  <si>
    <t>DDO</t>
  </si>
  <si>
    <t>Applicant</t>
  </si>
  <si>
    <t>T.V.Sreeenivasulu</t>
  </si>
  <si>
    <t>Sri.</t>
  </si>
  <si>
    <t>Smt.</t>
  </si>
  <si>
    <t>Kum.</t>
  </si>
  <si>
    <t>if any E.O.L peried                     (in Days )</t>
  </si>
  <si>
    <t>Inc.</t>
  </si>
  <si>
    <t>PLEASE FILL YOUR &amp; DDO DETAILS IN CELLS</t>
  </si>
  <si>
    <t>K.Chandra sekhar</t>
  </si>
  <si>
    <t>Mandal Educational Officer</t>
  </si>
  <si>
    <t>No change</t>
  </si>
  <si>
    <t>If any change DA enter below cell</t>
  </si>
  <si>
    <t>New DA</t>
  </si>
  <si>
    <t>Select PF/ CPS</t>
  </si>
  <si>
    <t>If CPS, CPS No:</t>
  </si>
  <si>
    <t>Mandal Parishad</t>
  </si>
  <si>
    <t>PF</t>
  </si>
  <si>
    <t>CPS</t>
  </si>
  <si>
    <t>(Rupees _______________________________________________</t>
  </si>
  <si>
    <t>net</t>
  </si>
  <si>
    <t>DDO Office Name:</t>
  </si>
  <si>
    <t>DDO Designation:</t>
  </si>
  <si>
    <t>State Bank of India, Pathikonda</t>
  </si>
  <si>
    <t>(G.O.Ms.No.655 Finance (pen.I) Dept.  dt.22.9.04)</t>
  </si>
  <si>
    <t>S.No</t>
  </si>
  <si>
    <t>Emp.Code</t>
  </si>
  <si>
    <t>CPS Index No</t>
  </si>
  <si>
    <t>Employees Contribution</t>
  </si>
  <si>
    <t>Sub Treasury code:</t>
  </si>
  <si>
    <t>DDO Name :</t>
  </si>
  <si>
    <t>DDO Code :</t>
  </si>
  <si>
    <t>CPS Account No</t>
  </si>
  <si>
    <t>DDO Name:</t>
  </si>
  <si>
    <t>DDO Code:</t>
  </si>
  <si>
    <t>CPS Account No:</t>
  </si>
  <si>
    <t>8342-00-117-00-04-001-000</t>
  </si>
  <si>
    <t>……………………………….</t>
  </si>
  <si>
    <t>…………………………………..</t>
  </si>
  <si>
    <t>……………………………………</t>
  </si>
  <si>
    <t>………………………</t>
  </si>
  <si>
    <t>…………</t>
  </si>
  <si>
    <t>………………</t>
  </si>
  <si>
    <t>………….</t>
  </si>
  <si>
    <t>……………</t>
  </si>
  <si>
    <t>…</t>
  </si>
  <si>
    <t>Budget allocation for the year 20…… - 20……</t>
  </si>
  <si>
    <t>Total Deduction</t>
  </si>
  <si>
    <t>L.P(               )</t>
  </si>
  <si>
    <t>L.P(Tel)</t>
  </si>
  <si>
    <t>S.A.(             )</t>
  </si>
  <si>
    <t>Dy. E.O. Office</t>
  </si>
  <si>
    <t>ir new</t>
  </si>
  <si>
    <t>ir old</t>
  </si>
  <si>
    <t>ir diff</t>
  </si>
  <si>
    <t>IR    27%</t>
  </si>
  <si>
    <t>IR  27%</t>
  </si>
  <si>
    <t>Certified that the D.A.is claimed in terms of  G.O.Ms.No.63 Finance Dept.,dated…./…/…….</t>
  </si>
  <si>
    <t>Date of Increment after AAS</t>
  </si>
  <si>
    <t>Name of the Office</t>
  </si>
  <si>
    <t>Sr.Asst.</t>
  </si>
  <si>
    <t>Mandal Development  Officer</t>
  </si>
  <si>
    <t>27000-51760</t>
  </si>
  <si>
    <t>6700-20110</t>
  </si>
  <si>
    <t>6900-20680</t>
  </si>
  <si>
    <t>7100-21250</t>
  </si>
  <si>
    <t>7520-22430</t>
  </si>
  <si>
    <t>7740-23040</t>
  </si>
  <si>
    <t>7960-23650</t>
  </si>
  <si>
    <t>8440-24950</t>
  </si>
  <si>
    <t>9200-27000</t>
  </si>
  <si>
    <t>9460-27700</t>
  </si>
  <si>
    <t>10020-29200</t>
  </si>
  <si>
    <t>11860-34050</t>
  </si>
  <si>
    <t>12550-35800</t>
  </si>
  <si>
    <t>12190-36700</t>
  </si>
  <si>
    <t>13660-38570</t>
  </si>
  <si>
    <t>16150-42590</t>
  </si>
  <si>
    <t>20680-46960</t>
  </si>
  <si>
    <t>23650-49360</t>
  </si>
  <si>
    <t>25600-50560</t>
  </si>
  <si>
    <t>29200-53060</t>
  </si>
  <si>
    <t>31550-53060</t>
  </si>
  <si>
    <t>34050-54360</t>
  </si>
  <si>
    <t>37600-54360</t>
  </si>
  <si>
    <t>41550-55660</t>
  </si>
  <si>
    <t>44740-55660</t>
  </si>
  <si>
    <t>OLD</t>
  </si>
  <si>
    <t>NEW</t>
  </si>
  <si>
    <t>Before AAS Scale of pay</t>
  </si>
  <si>
    <t>After  AAS Scale of pay</t>
  </si>
  <si>
    <t>General Education</t>
  </si>
  <si>
    <r>
      <t xml:space="preserve">Permanent / </t>
    </r>
    <r>
      <rPr>
        <strike/>
        <sz val="10"/>
        <rFont val="Cambria"/>
        <family val="1"/>
      </rPr>
      <t>Temporary</t>
    </r>
  </si>
  <si>
    <t>09130308020</t>
  </si>
  <si>
    <t>0981</t>
  </si>
  <si>
    <t>0913</t>
  </si>
  <si>
    <t>B.Ed.</t>
  </si>
  <si>
    <t xml:space="preserve">B.Sc. </t>
  </si>
  <si>
    <t>Select Your State</t>
  </si>
  <si>
    <t>ANDRA PRADESH</t>
  </si>
  <si>
    <t>TELANGANA</t>
  </si>
  <si>
    <t>( A.P.T.C.Form - 47 )</t>
  </si>
  <si>
    <t>Name of The NPB</t>
  </si>
  <si>
    <t xml:space="preserve">DDO Code                </t>
  </si>
  <si>
    <t>Name of  NLB</t>
  </si>
  <si>
    <t>Mandal Education Officer</t>
  </si>
  <si>
    <r>
      <t xml:space="preserve"> </t>
    </r>
    <r>
      <rPr>
        <b/>
        <sz val="12"/>
        <color indexed="10"/>
        <rFont val="Tahoma"/>
        <family val="2"/>
      </rPr>
      <t>AAS SOFTWARE</t>
    </r>
    <r>
      <rPr>
        <b/>
        <sz val="11"/>
        <color indexed="8"/>
        <rFont val="Tahoma"/>
        <family val="2"/>
      </rPr>
      <t xml:space="preserve">         </t>
    </r>
    <r>
      <rPr>
        <b/>
        <u val="single"/>
        <sz val="11"/>
        <color indexed="8"/>
        <rFont val="Tahoma"/>
        <family val="2"/>
      </rPr>
      <t xml:space="preserve"> </t>
    </r>
    <r>
      <rPr>
        <b/>
        <u val="single"/>
        <sz val="11"/>
        <rFont val="Tahoma"/>
        <family val="2"/>
      </rPr>
      <t xml:space="preserve">Programme Developed </t>
    </r>
    <r>
      <rPr>
        <b/>
        <u val="single"/>
        <sz val="11"/>
        <color indexed="8"/>
        <rFont val="Tahoma"/>
        <family val="2"/>
      </rPr>
      <t xml:space="preserve">By  </t>
    </r>
    <r>
      <rPr>
        <b/>
        <sz val="11"/>
        <color indexed="8"/>
        <rFont val="Tahoma"/>
        <family val="2"/>
      </rPr>
      <t xml:space="preserve">      C.Ramanjaneyulu   S.A(P.S),   ZPHS, Jonnagiri,             Tuggali(Mandal),                      Kurnool(Dt.)                           Ph :9160840947</t>
    </r>
  </si>
  <si>
    <t>www.kurnoolbadi.in</t>
  </si>
  <si>
    <r>
      <t xml:space="preserve">                   </t>
    </r>
    <r>
      <rPr>
        <b/>
        <sz val="14"/>
        <rFont val="Calibri"/>
        <family val="2"/>
      </rPr>
      <t xml:space="preserve">click for update softwares                                           </t>
    </r>
    <r>
      <rPr>
        <sz val="20"/>
        <rFont val="Calibri"/>
        <family val="2"/>
      </rPr>
      <t xml:space="preserve"> www.kurnoolbadi.in</t>
    </r>
  </si>
  <si>
    <t>Bank IFSC Code</t>
  </si>
  <si>
    <t>SBIN0015396</t>
  </si>
  <si>
    <t>Bank IFSC code</t>
  </si>
  <si>
    <r>
      <t xml:space="preserve">Prepared by: C.Ramanjaneyulu,S.A(P.S),ZPHS,Jonnagiri,Tuggali(M),Kurnool(Dt.)                                    </t>
    </r>
    <r>
      <rPr>
        <sz val="14"/>
        <color indexed="8"/>
        <rFont val="Cambria"/>
        <family val="1"/>
      </rPr>
      <t xml:space="preserve"> www.kurnoolbadi.in</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</si>
</sst>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రూ&quot;\ #,##0;&quot;రూ&quot;\ \-#,##0"/>
    <numFmt numFmtId="173" formatCode="&quot;రూ&quot;\ #,##0;[Red]&quot;రూ&quot;\ \-#,##0"/>
    <numFmt numFmtId="174" formatCode="&quot;రూ&quot;\ #,##0.00;&quot;రూ&quot;\ \-#,##0.00"/>
    <numFmt numFmtId="175" formatCode="&quot;రూ&quot;\ #,##0.00;[Red]&quot;రూ&quot;\ \-#,##0.00"/>
    <numFmt numFmtId="176" formatCode="_ &quot;రూ&quot;\ * #,##0_ ;_ &quot;రూ&quot;\ * \-#,##0_ ;_ &quot;రూ&quot;\ * &quot;-&quot;_ ;_ @_ "/>
    <numFmt numFmtId="177" formatCode="_ &quot;రూ&quot;\ * #,##0.00_ ;_ &quot;రూ&quot;\ * \-#,##0.00_ ;_ &quot;రూ&quot;\ * &quot;-&quot;??_ ;_ @_ "/>
    <numFmt numFmtId="178" formatCode="[$-409]mmm\-yy;@"/>
    <numFmt numFmtId="179" formatCode="[$-409]mmm/yy;@"/>
    <numFmt numFmtId="180" formatCode="mmmm\-yyyy"/>
    <numFmt numFmtId="181" formatCode="[$-409]d\-mmm\-yyyy;@"/>
    <numFmt numFmtId="182" formatCode="mmmm\-yy"/>
    <numFmt numFmtId="183" formatCode="[$-409]dddd\,\ mmmm\ dd\,\ yyyy"/>
    <numFmt numFmtId="184" formatCode="[$-409]h:mm:ss\ AM/PM"/>
    <numFmt numFmtId="185" formatCode="[$-409]mmmm\-yy;@"/>
    <numFmt numFmtId="186" formatCode="0;[Red]0"/>
  </numFmts>
  <fonts count="175">
    <font>
      <sz val="11"/>
      <color theme="1"/>
      <name val="Calibri"/>
      <family val="2"/>
    </font>
    <font>
      <sz val="11"/>
      <color indexed="8"/>
      <name val="Calibri"/>
      <family val="2"/>
    </font>
    <font>
      <sz val="10"/>
      <name val="Times New Roman"/>
      <family val="1"/>
    </font>
    <font>
      <sz val="10"/>
      <name val="Arial"/>
      <family val="2"/>
    </font>
    <font>
      <b/>
      <sz val="10"/>
      <name val="Times New Roman"/>
      <family val="1"/>
    </font>
    <font>
      <b/>
      <u val="single"/>
      <sz val="10"/>
      <name val="Times New Roman"/>
      <family val="1"/>
    </font>
    <font>
      <b/>
      <sz val="9"/>
      <name val="Times New Roman"/>
      <family val="1"/>
    </font>
    <font>
      <b/>
      <sz val="14"/>
      <name val="Times New Roman"/>
      <family val="1"/>
    </font>
    <font>
      <b/>
      <sz val="12"/>
      <name val="Times New Roman"/>
      <family val="1"/>
    </font>
    <font>
      <sz val="8"/>
      <name val="Times New Roman"/>
      <family val="1"/>
    </font>
    <font>
      <b/>
      <sz val="10"/>
      <color indexed="8"/>
      <name val="Times New Roman"/>
      <family val="1"/>
    </font>
    <font>
      <b/>
      <sz val="11"/>
      <name val="Times New Roman"/>
      <family val="1"/>
    </font>
    <font>
      <b/>
      <sz val="8"/>
      <name val="Times New Roman"/>
      <family val="1"/>
    </font>
    <font>
      <sz val="11"/>
      <name val="Times New Roman"/>
      <family val="1"/>
    </font>
    <font>
      <sz val="14"/>
      <name val="Times New Roman"/>
      <family val="1"/>
    </font>
    <font>
      <b/>
      <sz val="12"/>
      <name val="Arial"/>
      <family val="2"/>
    </font>
    <font>
      <b/>
      <sz val="20"/>
      <name val="Times New Roman"/>
      <family val="1"/>
    </font>
    <font>
      <sz val="10"/>
      <name val="Verdana"/>
      <family val="2"/>
    </font>
    <font>
      <b/>
      <u val="single"/>
      <sz val="12"/>
      <name val="Times New Roman"/>
      <family val="1"/>
    </font>
    <font>
      <b/>
      <i/>
      <sz val="12"/>
      <name val="Times New Roman"/>
      <family val="1"/>
    </font>
    <font>
      <b/>
      <u val="single"/>
      <sz val="14"/>
      <name val="Times New Roman"/>
      <family val="1"/>
    </font>
    <font>
      <b/>
      <u val="single"/>
      <sz val="11"/>
      <name val="Times New Roman"/>
      <family val="1"/>
    </font>
    <font>
      <b/>
      <sz val="10"/>
      <name val="Palatino Linotype"/>
      <family val="1"/>
    </font>
    <font>
      <b/>
      <sz val="16"/>
      <name val="Times New Roman"/>
      <family val="1"/>
    </font>
    <font>
      <b/>
      <sz val="12"/>
      <color indexed="8"/>
      <name val="Times New Roman"/>
      <family val="1"/>
    </font>
    <font>
      <sz val="12"/>
      <name val="Times New Roman"/>
      <family val="1"/>
    </font>
    <font>
      <sz val="9"/>
      <name val="Times New Roman"/>
      <family val="1"/>
    </font>
    <font>
      <i/>
      <sz val="11"/>
      <name val="Times New Roman"/>
      <family val="1"/>
    </font>
    <font>
      <sz val="12"/>
      <color indexed="8"/>
      <name val="Times New Roman"/>
      <family val="1"/>
    </font>
    <font>
      <sz val="20"/>
      <color indexed="8"/>
      <name val="Times New Roman"/>
      <family val="1"/>
    </font>
    <font>
      <sz val="13"/>
      <name val="Times New Roman"/>
      <family val="1"/>
    </font>
    <font>
      <b/>
      <sz val="11"/>
      <color indexed="8"/>
      <name val="Times New Roman"/>
      <family val="1"/>
    </font>
    <font>
      <sz val="20"/>
      <name val="Calibri"/>
      <family val="2"/>
    </font>
    <font>
      <b/>
      <sz val="14"/>
      <name val="Calibri"/>
      <family val="2"/>
    </font>
    <font>
      <strike/>
      <sz val="10"/>
      <name val="Cambria"/>
      <family val="1"/>
    </font>
    <font>
      <sz val="14"/>
      <color indexed="8"/>
      <name val="Cambria"/>
      <family val="1"/>
    </font>
    <font>
      <b/>
      <sz val="13"/>
      <name val="Times New Roman"/>
      <family val="1"/>
    </font>
    <font>
      <b/>
      <sz val="11"/>
      <color indexed="8"/>
      <name val="Tahoma"/>
      <family val="2"/>
    </font>
    <font>
      <b/>
      <u val="single"/>
      <sz val="11"/>
      <color indexed="8"/>
      <name val="Tahoma"/>
      <family val="2"/>
    </font>
    <font>
      <b/>
      <u val="single"/>
      <sz val="11"/>
      <name val="Tahoma"/>
      <family val="2"/>
    </font>
    <font>
      <b/>
      <sz val="12"/>
      <color indexed="10"/>
      <name val="Tahoma"/>
      <family val="2"/>
    </font>
    <font>
      <b/>
      <sz val="12"/>
      <name val="Cambria"/>
      <family val="1"/>
    </font>
    <font>
      <sz val="9"/>
      <name val="Tahoma"/>
      <family val="0"/>
    </font>
    <font>
      <b/>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0"/>
      <color indexed="8"/>
      <name val="Times New Roman"/>
      <family val="1"/>
    </font>
    <font>
      <b/>
      <sz val="8"/>
      <color indexed="8"/>
      <name val="Times New Roman"/>
      <family val="1"/>
    </font>
    <font>
      <b/>
      <sz val="16"/>
      <color indexed="8"/>
      <name val="Times New Roman"/>
      <family val="1"/>
    </font>
    <font>
      <b/>
      <sz val="10"/>
      <color indexed="8"/>
      <name val="Calibri"/>
      <family val="2"/>
    </font>
    <font>
      <b/>
      <sz val="12"/>
      <color indexed="8"/>
      <name val="Cambria"/>
      <family val="1"/>
    </font>
    <font>
      <sz val="10"/>
      <color indexed="8"/>
      <name val="Arial Narrow"/>
      <family val="2"/>
    </font>
    <font>
      <sz val="11"/>
      <color indexed="8"/>
      <name val="Cambria"/>
      <family val="1"/>
    </font>
    <font>
      <b/>
      <sz val="10"/>
      <name val="Cambria"/>
      <family val="1"/>
    </font>
    <font>
      <b/>
      <sz val="11"/>
      <color indexed="8"/>
      <name val="Cambria"/>
      <family val="1"/>
    </font>
    <font>
      <b/>
      <sz val="10"/>
      <color indexed="8"/>
      <name val="Cambria"/>
      <family val="1"/>
    </font>
    <font>
      <sz val="9"/>
      <color indexed="8"/>
      <name val="Cambria"/>
      <family val="1"/>
    </font>
    <font>
      <sz val="8"/>
      <name val="Cambria"/>
      <family val="1"/>
    </font>
    <font>
      <sz val="6"/>
      <name val="Cambria"/>
      <family val="1"/>
    </font>
    <font>
      <b/>
      <sz val="11"/>
      <color indexed="12"/>
      <name val="Cambria"/>
      <family val="1"/>
    </font>
    <font>
      <b/>
      <sz val="11"/>
      <name val="Cambria"/>
      <family val="1"/>
    </font>
    <font>
      <sz val="10"/>
      <name val="Cambria"/>
      <family val="1"/>
    </font>
    <font>
      <sz val="10"/>
      <color indexed="10"/>
      <name val="Cambria"/>
      <family val="1"/>
    </font>
    <font>
      <sz val="9"/>
      <name val="Cambria"/>
      <family val="1"/>
    </font>
    <font>
      <sz val="10"/>
      <color indexed="8"/>
      <name val="Cambria"/>
      <family val="1"/>
    </font>
    <font>
      <b/>
      <sz val="9"/>
      <name val="Cambria"/>
      <family val="1"/>
    </font>
    <font>
      <b/>
      <sz val="9"/>
      <color indexed="8"/>
      <name val="Cambria"/>
      <family val="1"/>
    </font>
    <font>
      <sz val="10"/>
      <color indexed="9"/>
      <name val="Cambria"/>
      <family val="1"/>
    </font>
    <font>
      <sz val="5"/>
      <name val="Cambria"/>
      <family val="1"/>
    </font>
    <font>
      <sz val="12"/>
      <color indexed="8"/>
      <name val="Cambria"/>
      <family val="1"/>
    </font>
    <font>
      <sz val="12"/>
      <name val="Cambria"/>
      <family val="1"/>
    </font>
    <font>
      <sz val="16"/>
      <name val="Cambria"/>
      <family val="1"/>
    </font>
    <font>
      <b/>
      <sz val="8"/>
      <name val="Cambria"/>
      <family val="1"/>
    </font>
    <font>
      <sz val="11"/>
      <name val="Cambria"/>
      <family val="1"/>
    </font>
    <font>
      <b/>
      <u val="single"/>
      <sz val="9"/>
      <name val="Cambria"/>
      <family val="1"/>
    </font>
    <font>
      <b/>
      <u val="single"/>
      <sz val="10"/>
      <color indexed="8"/>
      <name val="Cambria"/>
      <family val="1"/>
    </font>
    <font>
      <sz val="11"/>
      <color indexed="11"/>
      <name val="Calibri"/>
      <family val="2"/>
    </font>
    <font>
      <b/>
      <sz val="14"/>
      <color indexed="8"/>
      <name val="Cambria"/>
      <family val="1"/>
    </font>
    <font>
      <sz val="9"/>
      <color indexed="8"/>
      <name val="Calibri"/>
      <family val="2"/>
    </font>
    <font>
      <sz val="10"/>
      <color indexed="8"/>
      <name val="Calibri"/>
      <family val="2"/>
    </font>
    <font>
      <sz val="20"/>
      <color indexed="10"/>
      <name val="Arial Narrow"/>
      <family val="2"/>
    </font>
    <font>
      <b/>
      <sz val="14"/>
      <color indexed="10"/>
      <name val="Calibri"/>
      <family val="2"/>
    </font>
    <font>
      <b/>
      <sz val="16"/>
      <name val="Cambria"/>
      <family val="1"/>
    </font>
    <font>
      <sz val="20"/>
      <name val="Cambria"/>
      <family val="1"/>
    </font>
    <font>
      <b/>
      <sz val="14"/>
      <color indexed="8"/>
      <name val="Times New Roman"/>
      <family val="1"/>
    </font>
    <font>
      <b/>
      <sz val="20"/>
      <color indexed="10"/>
      <name val="Bodoni MT"/>
      <family val="1"/>
    </font>
    <font>
      <b/>
      <sz val="9"/>
      <color indexed="8"/>
      <name val="Times New Roman"/>
      <family val="1"/>
    </font>
    <font>
      <u val="single"/>
      <sz val="18"/>
      <name val="Cambria"/>
      <family val="1"/>
    </font>
    <font>
      <sz val="18"/>
      <name val="Cambria"/>
      <family val="1"/>
    </font>
    <font>
      <b/>
      <sz val="13"/>
      <color indexed="10"/>
      <name val="Calibri"/>
      <family val="2"/>
    </font>
    <font>
      <b/>
      <sz val="10"/>
      <color indexed="10"/>
      <name val="Calibri"/>
      <family val="2"/>
    </font>
    <font>
      <u val="single"/>
      <sz val="20"/>
      <name val="Cambria"/>
      <family val="1"/>
    </font>
    <font>
      <sz val="20"/>
      <color indexed="10"/>
      <name val="Cambria"/>
      <family val="1"/>
    </font>
    <font>
      <sz val="15"/>
      <color indexed="8"/>
      <name val="Times New Roman"/>
      <family val="1"/>
    </font>
    <font>
      <sz val="8"/>
      <color indexed="8"/>
      <name val="Cambria"/>
      <family val="1"/>
    </font>
    <font>
      <sz val="14"/>
      <name val="Cambria"/>
      <family val="1"/>
    </font>
    <font>
      <sz val="8"/>
      <name val="Tahoma"/>
      <family val="2"/>
    </font>
    <font>
      <b/>
      <sz val="12"/>
      <color indexed="8"/>
      <name val="Calibri"/>
      <family val="2"/>
    </font>
    <font>
      <sz val="14"/>
      <color indexed="8"/>
      <name val="Calibri"/>
      <family val="2"/>
    </font>
    <font>
      <b/>
      <sz val="11"/>
      <name val="Calibri"/>
      <family val="2"/>
    </font>
    <font>
      <b/>
      <sz val="11"/>
      <color indexed="26"/>
      <name val="Calibri"/>
      <family val="2"/>
    </font>
    <font>
      <b/>
      <sz val="11"/>
      <color indexed="17"/>
      <name val="Calibri"/>
      <family val="2"/>
    </font>
    <font>
      <b/>
      <sz val="12"/>
      <name val="Calibri"/>
      <family val="2"/>
    </font>
    <font>
      <b/>
      <sz val="14"/>
      <name val="Cambria"/>
      <family val="1"/>
    </font>
    <font>
      <sz val="10"/>
      <color indexed="8"/>
      <name val="Arial"/>
      <family val="2"/>
    </font>
    <font>
      <sz val="10.5"/>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
      <color theme="1"/>
      <name val="Times New Roman"/>
      <family val="1"/>
    </font>
    <font>
      <b/>
      <sz val="12"/>
      <color theme="1"/>
      <name val="Times New Roman"/>
      <family val="1"/>
    </font>
    <font>
      <b/>
      <sz val="11"/>
      <color theme="1"/>
      <name val="Times New Roman"/>
      <family val="1"/>
    </font>
    <font>
      <b/>
      <sz val="10"/>
      <color theme="1"/>
      <name val="Times New Roman"/>
      <family val="1"/>
    </font>
    <font>
      <b/>
      <sz val="8"/>
      <color theme="1"/>
      <name val="Times New Roman"/>
      <family val="1"/>
    </font>
    <font>
      <b/>
      <sz val="16"/>
      <color theme="1"/>
      <name val="Times New Roman"/>
      <family val="1"/>
    </font>
    <font>
      <b/>
      <sz val="10"/>
      <color theme="1"/>
      <name val="Calibri"/>
      <family val="2"/>
    </font>
    <font>
      <b/>
      <sz val="12"/>
      <color theme="1"/>
      <name val="Cambria"/>
      <family val="1"/>
    </font>
    <font>
      <sz val="10"/>
      <color theme="1"/>
      <name val="Arial Narrow"/>
      <family val="2"/>
    </font>
    <font>
      <sz val="11"/>
      <color theme="1"/>
      <name val="Cambria"/>
      <family val="1"/>
    </font>
    <font>
      <sz val="9"/>
      <color theme="1"/>
      <name val="Cambria"/>
      <family val="1"/>
    </font>
    <font>
      <sz val="10"/>
      <color theme="1"/>
      <name val="Cambria"/>
      <family val="1"/>
    </font>
    <font>
      <b/>
      <sz val="9"/>
      <color theme="1"/>
      <name val="Cambria"/>
      <family val="1"/>
    </font>
    <font>
      <sz val="12"/>
      <color theme="1"/>
      <name val="Cambria"/>
      <family val="1"/>
    </font>
    <font>
      <sz val="11"/>
      <color theme="6" tint="0.39998000860214233"/>
      <name val="Calibri"/>
      <family val="2"/>
    </font>
    <font>
      <b/>
      <sz val="14"/>
      <color theme="1"/>
      <name val="Cambria"/>
      <family val="1"/>
    </font>
    <font>
      <sz val="9"/>
      <color theme="1"/>
      <name val="Calibri"/>
      <family val="2"/>
    </font>
    <font>
      <sz val="10"/>
      <color theme="1"/>
      <name val="Calibri"/>
      <family val="2"/>
    </font>
    <font>
      <b/>
      <sz val="10"/>
      <color theme="1"/>
      <name val="Cambria"/>
      <family val="1"/>
    </font>
    <font>
      <sz val="20"/>
      <color rgb="FFFF0000"/>
      <name val="Arial Narrow"/>
      <family val="2"/>
    </font>
    <font>
      <b/>
      <sz val="11"/>
      <color theme="1"/>
      <name val="Tahoma"/>
      <family val="2"/>
    </font>
    <font>
      <sz val="20"/>
      <color rgb="FFFF0000"/>
      <name val="Cambria"/>
      <family val="1"/>
    </font>
    <font>
      <b/>
      <sz val="9"/>
      <color theme="1"/>
      <name val="Times New Roman"/>
      <family val="1"/>
    </font>
    <font>
      <b/>
      <sz val="13"/>
      <color rgb="FFFF0000"/>
      <name val="Calibri"/>
      <family val="2"/>
    </font>
    <font>
      <b/>
      <sz val="10"/>
      <color rgb="FFFF0000"/>
      <name val="Calibri"/>
      <family val="2"/>
    </font>
    <font>
      <b/>
      <sz val="14"/>
      <color theme="1"/>
      <name val="Times New Roman"/>
      <family val="1"/>
    </font>
    <font>
      <b/>
      <sz val="20"/>
      <color rgb="FFFF0000"/>
      <name val="Bodoni MT"/>
      <family val="1"/>
    </font>
    <font>
      <b/>
      <sz val="14"/>
      <color rgb="FFFF0000"/>
      <name val="Calibri"/>
      <family val="2"/>
    </font>
    <font>
      <sz val="15"/>
      <color theme="1"/>
      <name val="Times New Roman"/>
      <family val="1"/>
    </font>
    <font>
      <sz val="12"/>
      <color theme="1"/>
      <name val="Times New Roman"/>
      <family val="1"/>
    </font>
    <font>
      <b/>
      <sz val="11"/>
      <color theme="1"/>
      <name val="Cambria"/>
      <family val="1"/>
    </font>
    <font>
      <sz val="8"/>
      <color theme="1"/>
      <name val="Cambria"/>
      <family val="1"/>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FF00"/>
        <bgColor indexed="64"/>
      </patternFill>
    </fill>
    <fill>
      <patternFill patternType="solid">
        <fgColor theme="6" tint="0.5999900102615356"/>
        <bgColor indexed="64"/>
      </patternFill>
    </fill>
    <fill>
      <patternFill patternType="solid">
        <fgColor rgb="FF92D050"/>
        <bgColor indexed="64"/>
      </patternFill>
    </fill>
    <fill>
      <patternFill patternType="solid">
        <fgColor rgb="FFC8E329"/>
        <bgColor indexed="64"/>
      </patternFill>
    </fill>
    <fill>
      <patternFill patternType="solid">
        <fgColor theme="1"/>
        <bgColor indexed="64"/>
      </patternFill>
    </fill>
    <fill>
      <patternFill patternType="solid">
        <fgColor rgb="FF00B050"/>
        <bgColor indexed="64"/>
      </patternFill>
    </fill>
    <fill>
      <patternFill patternType="solid">
        <fgColor rgb="FF00FFFF"/>
        <bgColor indexed="64"/>
      </patternFill>
    </fill>
    <fill>
      <patternFill patternType="solid">
        <fgColor rgb="FFFF0000"/>
        <bgColor indexed="64"/>
      </patternFill>
    </fill>
    <fill>
      <patternFill patternType="solid">
        <fgColor theme="0"/>
        <bgColor indexed="64"/>
      </patternFill>
    </fill>
    <fill>
      <patternFill patternType="solid">
        <fgColor theme="3" tint="0.7999799847602844"/>
        <bgColor indexed="64"/>
      </patternFill>
    </fill>
  </fills>
  <borders count="1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FF0000"/>
      </left>
      <right/>
      <top/>
      <bottom/>
    </border>
    <border>
      <left/>
      <right style="double">
        <color rgb="FFFF0000"/>
      </right>
      <top/>
      <bottom/>
    </border>
    <border>
      <left/>
      <right/>
      <top style="thin"/>
      <bottom/>
    </border>
    <border>
      <left style="double">
        <color rgb="FFFF0000"/>
      </left>
      <right/>
      <top/>
      <bottom style="double">
        <color rgb="FFFF0000"/>
      </bottom>
    </border>
    <border>
      <left/>
      <right/>
      <top/>
      <bottom style="double">
        <color rgb="FFFF0000"/>
      </bottom>
    </border>
    <border>
      <left/>
      <right style="double">
        <color rgb="FFFF0000"/>
      </right>
      <top/>
      <bottom style="double">
        <color rgb="FFFF0000"/>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right style="thin"/>
      <top style="medium"/>
      <bottom style="thin"/>
    </border>
    <border>
      <left style="medium">
        <color indexed="8"/>
      </left>
      <right style="thin">
        <color indexed="8"/>
      </right>
      <top/>
      <bottom style="thin">
        <color indexed="8"/>
      </bottom>
    </border>
    <border>
      <left style="thin"/>
      <right style="thin"/>
      <top style="thin"/>
      <bottom style="thin"/>
    </border>
    <border>
      <left style="medium"/>
      <right style="medium"/>
      <top/>
      <bottom style="medium"/>
    </border>
    <border>
      <left style="medium"/>
      <right style="medium"/>
      <top style="medium"/>
      <bottom/>
    </border>
    <border>
      <left style="double">
        <color rgb="FFFF0000"/>
      </left>
      <right/>
      <top style="double">
        <color rgb="FFFF0000"/>
      </top>
      <bottom/>
    </border>
    <border>
      <left/>
      <right/>
      <top style="double">
        <color rgb="FFFF0000"/>
      </top>
      <bottom/>
    </border>
    <border>
      <left/>
      <right style="double">
        <color rgb="FFFF0000"/>
      </right>
      <top style="double">
        <color rgb="FFFF0000"/>
      </top>
      <bottom/>
    </border>
    <border>
      <left/>
      <right/>
      <top style="medium">
        <color theme="1"/>
      </top>
      <bottom style="medium">
        <color theme="1"/>
      </bottom>
    </border>
    <border>
      <left/>
      <right style="medium">
        <color theme="1"/>
      </right>
      <top style="medium">
        <color theme="1"/>
      </top>
      <bottom style="medium">
        <color theme="1"/>
      </bottom>
    </border>
    <border>
      <left style="medium">
        <color theme="1"/>
      </left>
      <right style="medium">
        <color theme="1"/>
      </right>
      <top style="medium">
        <color theme="1"/>
      </top>
      <bottom style="medium">
        <color theme="1"/>
      </bottom>
    </border>
    <border>
      <left style="medium"/>
      <right/>
      <top style="medium"/>
      <bottom style="medium"/>
    </border>
    <border>
      <left style="medium"/>
      <right/>
      <top/>
      <bottom style="medium"/>
    </border>
    <border>
      <left style="medium"/>
      <right/>
      <top style="medium">
        <color theme="1"/>
      </top>
      <bottom style="medium">
        <color theme="1"/>
      </bottom>
    </border>
    <border>
      <left>
        <color indexed="63"/>
      </left>
      <right>
        <color indexed="63"/>
      </right>
      <top style="thick"/>
      <bottom>
        <color indexed="63"/>
      </bottom>
    </border>
    <border>
      <left style="medium"/>
      <right style="medium"/>
      <top style="medium"/>
      <bottom style="medium"/>
    </border>
    <border>
      <left/>
      <right style="medium"/>
      <top style="medium"/>
      <bottom style="medium"/>
    </border>
    <border>
      <left style="medium">
        <color theme="1"/>
      </left>
      <right/>
      <top style="medium">
        <color theme="1"/>
      </top>
      <bottom style="medium">
        <color theme="1"/>
      </bottom>
    </border>
    <border>
      <left style="medium">
        <color theme="1"/>
      </left>
      <right/>
      <top style="medium">
        <color theme="1"/>
      </top>
      <bottom/>
    </border>
    <border>
      <left style="medium"/>
      <right style="slantDashDot">
        <color rgb="FFFF0000"/>
      </right>
      <top style="medium"/>
      <bottom style="medium"/>
    </border>
    <border>
      <left style="thin"/>
      <right/>
      <top style="thin"/>
      <bottom style="thin"/>
    </border>
    <border>
      <left>
        <color indexed="63"/>
      </left>
      <right style="slantDashDot">
        <color rgb="FFFF0000"/>
      </right>
      <top style="medium"/>
      <bottom style="medium">
        <color theme="1"/>
      </bottom>
    </border>
    <border>
      <left style="medium">
        <color rgb="FFFF0000"/>
      </left>
      <right/>
      <top/>
      <bottom/>
    </border>
    <border>
      <left style="thin"/>
      <right/>
      <top/>
      <bottom/>
    </border>
    <border>
      <left/>
      <right style="medium">
        <color rgb="FFFF0000"/>
      </right>
      <top/>
      <bottom/>
    </border>
    <border>
      <left style="thin"/>
      <right/>
      <top/>
      <bottom style="thin"/>
    </border>
    <border>
      <left/>
      <right/>
      <top/>
      <bottom style="thin"/>
    </border>
    <border>
      <left/>
      <right style="medium">
        <color rgb="FFFF0000"/>
      </right>
      <top/>
      <bottom style="thin"/>
    </border>
    <border>
      <left style="medium">
        <color rgb="FFFF0000"/>
      </left>
      <right/>
      <top/>
      <bottom style="medium"/>
    </border>
    <border>
      <left/>
      <right/>
      <top/>
      <bottom style="medium"/>
    </border>
    <border>
      <left/>
      <right style="medium">
        <color rgb="FFFF0000"/>
      </right>
      <top/>
      <bottom style="medium"/>
    </border>
    <border>
      <left/>
      <right style="thin"/>
      <top/>
      <bottom/>
    </border>
    <border>
      <left/>
      <right/>
      <top style="hair"/>
      <bottom/>
    </border>
    <border>
      <left/>
      <right style="medium">
        <color rgb="FFFF0000"/>
      </right>
      <top style="hair"/>
      <bottom/>
    </border>
    <border>
      <left style="medium">
        <color rgb="FFFF0000"/>
      </left>
      <right/>
      <top/>
      <bottom style="thin"/>
    </border>
    <border>
      <left/>
      <right style="thin"/>
      <top/>
      <bottom style="thin"/>
    </border>
    <border>
      <left/>
      <right/>
      <top style="thin"/>
      <bottom style="thin"/>
    </border>
    <border>
      <left/>
      <right style="thin"/>
      <top style="hair"/>
      <bottom/>
    </border>
    <border>
      <left style="medium">
        <color rgb="FFFF0000"/>
      </left>
      <right/>
      <top/>
      <bottom style="medium">
        <color rgb="FFFF0000"/>
      </bottom>
    </border>
    <border>
      <left/>
      <right/>
      <top/>
      <bottom style="medium">
        <color rgb="FFFF0000"/>
      </bottom>
    </border>
    <border>
      <left/>
      <right style="medium">
        <color rgb="FFFF0000"/>
      </right>
      <top/>
      <bottom style="medium">
        <color rgb="FFFF0000"/>
      </bottom>
    </border>
    <border>
      <left style="double">
        <color rgb="FFFF0000"/>
      </left>
      <right/>
      <top style="medium">
        <color theme="1"/>
      </top>
      <bottom/>
    </border>
    <border>
      <left/>
      <right/>
      <top style="medium">
        <color theme="1"/>
      </top>
      <bottom/>
    </border>
    <border>
      <left/>
      <right style="double">
        <color rgb="FFFF0000"/>
      </right>
      <top style="medium">
        <color theme="1"/>
      </top>
      <bottom/>
    </border>
    <border>
      <left style="double">
        <color rgb="FFFF0000"/>
      </left>
      <right/>
      <top/>
      <bottom style="medium">
        <color theme="1"/>
      </bottom>
    </border>
    <border>
      <left/>
      <right/>
      <top/>
      <bottom style="medium">
        <color theme="1"/>
      </bottom>
    </border>
    <border>
      <left style="thin"/>
      <right/>
      <top style="thin"/>
      <bottom/>
    </border>
    <border>
      <left/>
      <right style="thin"/>
      <top style="thin"/>
      <bottom/>
    </border>
    <border>
      <left/>
      <right style="double">
        <color rgb="FFFF0000"/>
      </right>
      <top/>
      <bottom style="thin"/>
    </border>
    <border>
      <left style="thick"/>
      <right>
        <color indexed="63"/>
      </right>
      <top>
        <color indexed="63"/>
      </top>
      <bottom style="medium"/>
    </border>
    <border>
      <left style="thick"/>
      <right>
        <color indexed="63"/>
      </right>
      <top>
        <color indexed="63"/>
      </top>
      <bottom style="thick"/>
    </border>
    <border>
      <left style="slantDashDot">
        <color rgb="FFFF0000"/>
      </left>
      <right/>
      <top/>
      <bottom/>
    </border>
    <border>
      <left style="double">
        <color rgb="FFF15241"/>
      </left>
      <right/>
      <top style="double">
        <color rgb="FFF15241"/>
      </top>
      <bottom/>
    </border>
    <border>
      <left/>
      <right/>
      <top style="double">
        <color rgb="FFF15241"/>
      </top>
      <bottom/>
    </border>
    <border>
      <left/>
      <right style="double">
        <color rgb="FFF15241"/>
      </right>
      <top style="double">
        <color rgb="FFF15241"/>
      </top>
      <bottom/>
    </border>
    <border>
      <left style="double">
        <color rgb="FFF15241"/>
      </left>
      <right/>
      <top/>
      <bottom/>
    </border>
    <border>
      <left/>
      <right style="double">
        <color rgb="FFF15241"/>
      </right>
      <top/>
      <bottom/>
    </border>
    <border>
      <left style="double">
        <color rgb="FFF15241"/>
      </left>
      <right/>
      <top/>
      <bottom style="double">
        <color rgb="FFF15241"/>
      </bottom>
    </border>
    <border>
      <left/>
      <right/>
      <top/>
      <bottom style="double">
        <color rgb="FFF15241"/>
      </bottom>
    </border>
    <border>
      <left/>
      <right style="double">
        <color rgb="FFF15241"/>
      </right>
      <top/>
      <bottom style="double">
        <color rgb="FFF15241"/>
      </bottom>
    </border>
    <border>
      <left style="double">
        <color rgb="FFFF33CC"/>
      </left>
      <right style="dashed">
        <color theme="1"/>
      </right>
      <top style="double">
        <color rgb="FFFF33CC"/>
      </top>
      <bottom style="dashed">
        <color theme="1"/>
      </bottom>
    </border>
    <border>
      <left style="dashed">
        <color theme="1"/>
      </left>
      <right style="dashed">
        <color theme="1"/>
      </right>
      <top style="double">
        <color rgb="FFFF33CC"/>
      </top>
      <bottom style="dashed">
        <color theme="1"/>
      </bottom>
    </border>
    <border>
      <left style="dashed">
        <color theme="1"/>
      </left>
      <right style="double">
        <color rgb="FFFF33CC"/>
      </right>
      <top style="double">
        <color rgb="FFFF33CC"/>
      </top>
      <bottom style="dashed">
        <color theme="1"/>
      </bottom>
    </border>
    <border>
      <left style="double">
        <color rgb="FFFF33CC"/>
      </left>
      <right style="dashed">
        <color theme="1"/>
      </right>
      <top style="dashed">
        <color theme="1"/>
      </top>
      <bottom style="dashed">
        <color theme="1"/>
      </bottom>
    </border>
    <border>
      <left style="dashed">
        <color theme="1"/>
      </left>
      <right style="dashed">
        <color theme="1"/>
      </right>
      <top style="dashed">
        <color theme="1"/>
      </top>
      <bottom style="dashed">
        <color theme="1"/>
      </bottom>
    </border>
    <border>
      <left style="dashed">
        <color theme="1"/>
      </left>
      <right style="double">
        <color rgb="FFFF33CC"/>
      </right>
      <top style="dashed">
        <color theme="1"/>
      </top>
      <bottom style="dashed">
        <color theme="1"/>
      </bottom>
    </border>
    <border>
      <left style="dashed">
        <color theme="1"/>
      </left>
      <right style="dashed">
        <color theme="1"/>
      </right>
      <top style="dashed">
        <color theme="1"/>
      </top>
      <bottom style="double">
        <color rgb="FFFF33CC"/>
      </bottom>
    </border>
    <border>
      <left style="dashed">
        <color theme="1"/>
      </left>
      <right style="double">
        <color rgb="FFFF33CC"/>
      </right>
      <top style="dashed">
        <color theme="1"/>
      </top>
      <bottom style="double">
        <color rgb="FFFF33CC"/>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slantDashDot">
        <color rgb="FFFF0000"/>
      </right>
      <top/>
      <bottom/>
    </border>
    <border>
      <left style="slantDashDot">
        <color rgb="FFFF0000"/>
      </left>
      <right/>
      <top/>
      <bottom style="slantDashDot">
        <color rgb="FFFF0000"/>
      </bottom>
    </border>
    <border>
      <left/>
      <right/>
      <top/>
      <bottom style="slantDashDot">
        <color rgb="FFFF0000"/>
      </bottom>
    </border>
    <border>
      <left/>
      <right style="slantDashDot">
        <color rgb="FFFF0000"/>
      </right>
      <top/>
      <bottom style="slantDashDot">
        <color rgb="FFFF0000"/>
      </bottom>
    </border>
    <border>
      <left style="thin"/>
      <right style="thin"/>
      <top>
        <color indexed="63"/>
      </top>
      <bottom style="thin"/>
    </border>
    <border>
      <left style="thin"/>
      <right/>
      <top style="slantDashDot"/>
      <bottom style="slantDashDot"/>
    </border>
    <border>
      <left>
        <color indexed="63"/>
      </left>
      <right>
        <color indexed="63"/>
      </right>
      <top style="slantDashDot"/>
      <bottom style="slantDashDot"/>
    </border>
    <border>
      <left>
        <color indexed="63"/>
      </left>
      <right style="slantDashDot">
        <color rgb="FFFF0000"/>
      </right>
      <top style="slantDashDot"/>
      <bottom style="slantDashDot"/>
    </border>
    <border>
      <left style="medium"/>
      <right>
        <color indexed="63"/>
      </right>
      <top style="medium"/>
      <bottom>
        <color indexed="63"/>
      </bottom>
    </border>
    <border>
      <left>
        <color indexed="63"/>
      </left>
      <right style="medium"/>
      <top style="medium"/>
      <bottom>
        <color indexed="63"/>
      </bottom>
    </border>
    <border>
      <left/>
      <right style="medium"/>
      <top/>
      <bottom style="medium"/>
    </border>
    <border>
      <left style="medium"/>
      <right>
        <color indexed="63"/>
      </right>
      <top style="medium"/>
      <bottom style="double">
        <color rgb="FFFF0000"/>
      </bottom>
    </border>
    <border>
      <left>
        <color indexed="63"/>
      </left>
      <right style="medium"/>
      <top style="medium"/>
      <bottom style="double">
        <color rgb="FFFF0000"/>
      </bottom>
    </border>
    <border>
      <left>
        <color indexed="63"/>
      </left>
      <right style="slantDashDot">
        <color rgb="FFFF0000"/>
      </right>
      <top style="medium"/>
      <bottom style="double">
        <color rgb="FFFF0000"/>
      </bottom>
    </border>
    <border>
      <left/>
      <right/>
      <top style="slantDashDot">
        <color rgb="FFFF0000"/>
      </top>
      <bottom/>
    </border>
    <border>
      <left/>
      <right style="slantDashDot">
        <color rgb="FFFF0000"/>
      </right>
      <top style="slantDashDot">
        <color rgb="FFFF0000"/>
      </top>
      <bottom/>
    </border>
    <border>
      <left style="medium"/>
      <right/>
      <top>
        <color indexed="63"/>
      </top>
      <bottom style="medium">
        <color theme="1"/>
      </bottom>
    </border>
    <border>
      <left>
        <color indexed="63"/>
      </left>
      <right style="thick"/>
      <top>
        <color indexed="63"/>
      </top>
      <bottom style="medium">
        <color theme="1"/>
      </bottom>
    </border>
    <border>
      <left style="double">
        <color rgb="FFFF0000"/>
      </left>
      <right>
        <color indexed="63"/>
      </right>
      <top style="double">
        <color rgb="FFFF0000"/>
      </top>
      <bottom style="double">
        <color rgb="FFFF0000"/>
      </bottom>
    </border>
    <border>
      <left>
        <color indexed="63"/>
      </left>
      <right>
        <color indexed="63"/>
      </right>
      <top style="double">
        <color rgb="FFFF0000"/>
      </top>
      <bottom style="double">
        <color rgb="FFFF0000"/>
      </bottom>
    </border>
    <border>
      <left>
        <color indexed="63"/>
      </left>
      <right style="double">
        <color rgb="FFFF0000"/>
      </right>
      <top style="double">
        <color rgb="FFFF0000"/>
      </top>
      <bottom style="double">
        <color rgb="FFFF0000"/>
      </bottom>
    </border>
    <border>
      <left>
        <color indexed="63"/>
      </left>
      <right style="medium"/>
      <top style="medium">
        <color theme="1"/>
      </top>
      <bottom style="medium">
        <color theme="1"/>
      </bottom>
    </border>
    <border>
      <left/>
      <right/>
      <top style="medium"/>
      <bottom style="medium"/>
    </border>
    <border>
      <left>
        <color indexed="63"/>
      </left>
      <right style="slantDashDot">
        <color rgb="FFFF0000"/>
      </right>
      <top style="medium">
        <color theme="1"/>
      </top>
      <bottom>
        <color indexed="63"/>
      </bottom>
    </border>
    <border>
      <left style="slantDashDot">
        <color rgb="FF00B050"/>
      </left>
      <right/>
      <top>
        <color indexed="63"/>
      </top>
      <bottom style="slantDashDot">
        <color rgb="FF00B050"/>
      </bottom>
    </border>
    <border>
      <left/>
      <right style="slantDashDot">
        <color rgb="FF00B050"/>
      </right>
      <top>
        <color indexed="63"/>
      </top>
      <bottom style="slantDashDot">
        <color rgb="FF00B050"/>
      </bottom>
    </border>
    <border>
      <left style="slantDashDot">
        <color rgb="FF00B050"/>
      </left>
      <right/>
      <top style="slantDashDot">
        <color rgb="FF00B050"/>
      </top>
      <bottom style="slantDashDot">
        <color rgb="FF00B050"/>
      </bottom>
    </border>
    <border>
      <left/>
      <right style="slantDashDot">
        <color rgb="FF00B050"/>
      </right>
      <top style="slantDashDot">
        <color rgb="FF00B050"/>
      </top>
      <bottom style="slantDashDot">
        <color rgb="FF00B050"/>
      </bottom>
    </border>
    <border>
      <left style="slantDashDot">
        <color rgb="FFFF0000"/>
      </left>
      <right/>
      <top style="slantDashDot">
        <color rgb="FFFF0000"/>
      </top>
      <bottom style="slantDashDot">
        <color rgb="FFFF0000"/>
      </bottom>
    </border>
    <border>
      <left/>
      <right/>
      <top style="slantDashDot">
        <color rgb="FFFF0000"/>
      </top>
      <bottom style="slantDashDot">
        <color rgb="FFFF0000"/>
      </bottom>
    </border>
    <border>
      <left/>
      <right style="slantDashDot">
        <color rgb="FFFF0000"/>
      </right>
      <top style="slantDashDot">
        <color rgb="FFFF0000"/>
      </top>
      <bottom style="slantDashDot">
        <color rgb="FFFF0000"/>
      </bottom>
    </border>
    <border>
      <left style="medium">
        <color theme="1"/>
      </left>
      <right/>
      <top>
        <color indexed="63"/>
      </top>
      <bottom style="medium">
        <color theme="1"/>
      </bottom>
    </border>
    <border>
      <left/>
      <right style="medium"/>
      <top>
        <color indexed="63"/>
      </top>
      <bottom style="medium">
        <color theme="1"/>
      </bottom>
    </border>
    <border>
      <left style="medium"/>
      <right>
        <color indexed="63"/>
      </right>
      <top style="slantDashDot">
        <color rgb="FFFF0000"/>
      </top>
      <bottom style="medium">
        <color theme="1"/>
      </bottom>
    </border>
    <border>
      <left>
        <color indexed="63"/>
      </left>
      <right style="medium"/>
      <top style="slantDashDot">
        <color rgb="FFFF0000"/>
      </top>
      <bottom style="medium">
        <color theme="1"/>
      </bottom>
    </border>
    <border>
      <left/>
      <right style="medium">
        <color theme="1"/>
      </right>
      <top style="medium">
        <color theme="1"/>
      </top>
      <bottom>
        <color indexed="63"/>
      </bottom>
    </border>
    <border>
      <left style="medium"/>
      <right/>
      <top style="medium">
        <color theme="1"/>
      </top>
      <bottom style="medium"/>
    </border>
    <border>
      <left>
        <color indexed="63"/>
      </left>
      <right style="medium"/>
      <top style="medium">
        <color theme="1"/>
      </top>
      <bottom style="medium"/>
    </border>
    <border>
      <left>
        <color indexed="63"/>
      </left>
      <right>
        <color indexed="63"/>
      </right>
      <top style="medium">
        <color theme="1"/>
      </top>
      <bottom style="medium"/>
    </border>
    <border>
      <left style="slantDashDot">
        <color theme="1"/>
      </left>
      <right/>
      <top style="medium">
        <color theme="1"/>
      </top>
      <bottom/>
    </border>
    <border>
      <left>
        <color indexed="63"/>
      </left>
      <right style="slantDashDot">
        <color rgb="FF00B050"/>
      </right>
      <top style="medium">
        <color theme="1"/>
      </top>
      <bottom>
        <color indexed="63"/>
      </bottom>
    </border>
    <border>
      <left style="slantDashDot">
        <color theme="1"/>
      </left>
      <right/>
      <top/>
      <bottom/>
    </border>
    <border>
      <left>
        <color indexed="63"/>
      </left>
      <right style="slantDashDot">
        <color rgb="FF00B050"/>
      </right>
      <top>
        <color indexed="63"/>
      </top>
      <bottom>
        <color indexed="63"/>
      </bottom>
    </border>
    <border>
      <left style="slantDashDot">
        <color theme="1"/>
      </left>
      <right/>
      <top/>
      <bottom style="medium">
        <color theme="1"/>
      </bottom>
    </border>
    <border>
      <left>
        <color indexed="63"/>
      </left>
      <right style="slantDashDot">
        <color rgb="FF00B050"/>
      </right>
      <top>
        <color indexed="63"/>
      </top>
      <bottom style="medium">
        <color theme="1"/>
      </bottom>
    </border>
    <border>
      <left/>
      <right style="medium">
        <color theme="1"/>
      </right>
      <top style="slantDashDot"/>
      <bottom/>
    </border>
    <border>
      <left style="medium">
        <color theme="1"/>
      </left>
      <right style="medium">
        <color theme="1"/>
      </right>
      <top style="slantDashDot"/>
      <bottom/>
    </border>
    <border>
      <left style="medium">
        <color theme="1"/>
      </left>
      <right style="medium">
        <color theme="1"/>
      </right>
      <top style="slantDashDot"/>
      <bottom style="slantDashDot"/>
    </border>
    <border>
      <left style="medium">
        <color theme="1"/>
      </left>
      <right>
        <color indexed="63"/>
      </right>
      <top style="slantDashDot"/>
      <bottom style="slantDashDot"/>
    </border>
    <border>
      <left style="slantDashDot">
        <color rgb="FF00B050"/>
      </left>
      <right/>
      <top style="slantDashDot"/>
      <bottom style="slantDashDot">
        <color theme="1"/>
      </bottom>
    </border>
    <border>
      <left/>
      <right>
        <color indexed="63"/>
      </right>
      <top style="slantDashDot"/>
      <bottom>
        <color indexed="63"/>
      </bottom>
    </border>
    <border>
      <left>
        <color indexed="63"/>
      </left>
      <right>
        <color indexed="63"/>
      </right>
      <top style="medium"/>
      <bottom style="double">
        <color rgb="FFFF0000"/>
      </bottom>
    </border>
    <border>
      <left style="slantDashDot">
        <color rgb="FFFF0000"/>
      </left>
      <right/>
      <top style="slantDashDot">
        <color rgb="FFFF0000"/>
      </top>
      <bottom/>
    </border>
    <border>
      <left style="slantDashDot">
        <color rgb="FFFF0000"/>
      </left>
      <right/>
      <top/>
      <bottom style="double">
        <color rgb="FFFF0000"/>
      </bottom>
    </border>
    <border>
      <left>
        <color indexed="63"/>
      </left>
      <right style="slantDashDot">
        <color rgb="FFFF0000"/>
      </right>
      <top>
        <color indexed="63"/>
      </top>
      <bottom style="double">
        <color rgb="FFFF0000"/>
      </bottom>
    </border>
    <border>
      <left style="medium">
        <color theme="1"/>
      </left>
      <right>
        <color indexed="63"/>
      </right>
      <top style="medium"/>
      <bottom style="medium">
        <color theme="1"/>
      </bottom>
    </border>
    <border>
      <left>
        <color indexed="63"/>
      </left>
      <right>
        <color indexed="63"/>
      </right>
      <top style="medium"/>
      <bottom style="medium">
        <color theme="1"/>
      </bottom>
    </border>
    <border>
      <left style="slantDashDot">
        <color rgb="FF00B050"/>
      </left>
      <right>
        <color indexed="63"/>
      </right>
      <top>
        <color indexed="63"/>
      </top>
      <bottom style="slantDashDot"/>
    </border>
    <border>
      <left/>
      <right/>
      <top/>
      <bottom style="slantDashDot"/>
    </border>
    <border>
      <left style="thick"/>
      <right>
        <color indexed="63"/>
      </right>
      <top style="thick"/>
      <bottom>
        <color indexed="63"/>
      </bottom>
    </border>
    <border>
      <left/>
      <right/>
      <top style="slantDashDot">
        <color rgb="FF00B050"/>
      </top>
      <bottom style="slantDashDot">
        <color rgb="FF00B050"/>
      </bottom>
    </border>
    <border>
      <left style="slantDashDot"/>
      <right>
        <color indexed="63"/>
      </right>
      <top style="slantDashDot"/>
      <bottom style="slantDashDot"/>
    </border>
    <border>
      <left style="slantDashDot"/>
      <right>
        <color indexed="63"/>
      </right>
      <top style="slantDashDot">
        <color rgb="FFFF0000"/>
      </top>
      <bottom style="slantDashDot"/>
    </border>
    <border>
      <left>
        <color indexed="63"/>
      </left>
      <right>
        <color indexed="63"/>
      </right>
      <top style="slantDashDot">
        <color rgb="FFFF0000"/>
      </top>
      <bottom style="slantDashDot"/>
    </border>
    <border>
      <left>
        <color indexed="63"/>
      </left>
      <right style="slantDashDot">
        <color rgb="FFFF0000"/>
      </right>
      <top style="slantDashDot">
        <color rgb="FFFF0000"/>
      </top>
      <bottom style="slantDashDot"/>
    </border>
    <border>
      <left style="thin"/>
      <right style="thin"/>
      <top style="thin"/>
      <bottom>
        <color indexed="63"/>
      </bottom>
    </border>
    <border>
      <left/>
      <right style="thin"/>
      <top style="thin"/>
      <bottom style="thin"/>
    </border>
    <border>
      <left style="medium">
        <color rgb="FFFF0000"/>
      </left>
      <right>
        <color indexed="63"/>
      </right>
      <top style="medium"/>
      <bottom>
        <color indexed="63"/>
      </bottom>
    </border>
    <border>
      <left/>
      <right/>
      <top style="medium"/>
      <bottom/>
    </border>
    <border>
      <left/>
      <right/>
      <top/>
      <bottom style="hair"/>
    </border>
    <border>
      <left/>
      <right style="medium">
        <color rgb="FFFF0000"/>
      </right>
      <top/>
      <bottom style="hair"/>
    </border>
    <border>
      <left style="thin"/>
      <right/>
      <top style="medium"/>
      <bottom/>
    </border>
    <border>
      <left/>
      <right style="medium">
        <color rgb="FFFF0000"/>
      </right>
      <top style="medium"/>
      <bottom/>
    </border>
    <border>
      <left/>
      <right/>
      <top style="hair"/>
      <bottom style="hair"/>
    </border>
    <border>
      <left/>
      <right style="medium">
        <color rgb="FFFF0000"/>
      </right>
      <top style="hair"/>
      <bottom style="hair"/>
    </border>
    <border>
      <left style="thin"/>
      <right style="medium">
        <color rgb="FFFF0000"/>
      </right>
      <top style="thin"/>
      <bottom style="thin"/>
    </border>
    <border>
      <left/>
      <right style="thin"/>
      <top style="hair"/>
      <bottom style="hair"/>
    </border>
    <border>
      <left style="medium">
        <color rgb="FFFF0000"/>
      </left>
      <right/>
      <top style="medium">
        <color rgb="FFFF0000"/>
      </top>
      <bottom/>
    </border>
    <border>
      <left/>
      <right/>
      <top style="medium">
        <color rgb="FFFF0000"/>
      </top>
      <bottom/>
    </border>
    <border>
      <left/>
      <right style="medium">
        <color rgb="FFFF0000"/>
      </right>
      <top style="medium">
        <color rgb="FFFF0000"/>
      </top>
      <bottom/>
    </border>
    <border>
      <left/>
      <right style="medium">
        <color rgb="FFFF0000"/>
      </right>
      <top style="thin"/>
      <bottom/>
    </border>
    <border>
      <left/>
      <right style="medium">
        <color rgb="FFFF0000"/>
      </right>
      <top style="thin"/>
      <bottom style="thin"/>
    </border>
    <border>
      <left style="medium">
        <color rgb="FFFF0000"/>
      </left>
      <right/>
      <top style="thin"/>
      <bottom/>
    </border>
    <border>
      <left/>
      <right/>
      <top/>
      <bottom style="hair">
        <color theme="1"/>
      </bottom>
    </border>
    <border>
      <left/>
      <right style="medium">
        <color rgb="FFFF0000"/>
      </right>
      <top/>
      <bottom style="hair">
        <color theme="1"/>
      </bottom>
    </border>
    <border>
      <left style="double">
        <color rgb="FFFF0000"/>
      </left>
      <right/>
      <top/>
      <bottom style="medium"/>
    </border>
    <border>
      <left/>
      <right style="double">
        <color rgb="FFFF0000"/>
      </right>
      <top/>
      <bottom style="medium"/>
    </border>
    <border>
      <left/>
      <right style="double">
        <color rgb="FFFF0000"/>
      </right>
      <top/>
      <bottom style="medium">
        <color theme="1"/>
      </bottom>
    </border>
    <border>
      <left style="thin">
        <color indexed="8"/>
      </left>
      <right style="medium">
        <color indexed="8"/>
      </right>
      <top style="medium">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right style="thin">
        <color indexed="8"/>
      </right>
      <top style="medium">
        <color indexed="8"/>
      </top>
      <bottom style="thin">
        <color indexed="8"/>
      </bottom>
    </border>
    <border>
      <left style="thin">
        <color indexed="8"/>
      </left>
      <right/>
      <top style="thin">
        <color indexed="8"/>
      </top>
      <bottom style="medium">
        <color indexed="8"/>
      </bottom>
    </border>
    <border>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medium">
        <color indexed="8"/>
      </right>
      <top style="thin">
        <color indexed="8"/>
      </top>
      <bottom/>
    </border>
    <border>
      <left/>
      <right style="medium">
        <color indexed="8"/>
      </right>
      <top/>
      <bottom style="thin">
        <color indexed="8"/>
      </bottom>
    </border>
    <border>
      <left/>
      <right/>
      <top/>
      <bottom style="medium">
        <color indexed="8"/>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3" fillId="14" borderId="0" applyNumberFormat="0" applyBorder="0" applyAlignment="0" applyProtection="0"/>
    <xf numFmtId="0" fontId="123" fillId="15" borderId="0" applyNumberFormat="0" applyBorder="0" applyAlignment="0" applyProtection="0"/>
    <xf numFmtId="0" fontId="123" fillId="16" borderId="0" applyNumberFormat="0" applyBorder="0" applyAlignment="0" applyProtection="0"/>
    <xf numFmtId="0" fontId="123" fillId="17" borderId="0" applyNumberFormat="0" applyBorder="0" applyAlignment="0" applyProtection="0"/>
    <xf numFmtId="0" fontId="123" fillId="18" borderId="0" applyNumberFormat="0" applyBorder="0" applyAlignment="0" applyProtection="0"/>
    <xf numFmtId="0" fontId="123" fillId="19" borderId="0" applyNumberFormat="0" applyBorder="0" applyAlignment="0" applyProtection="0"/>
    <xf numFmtId="0" fontId="123" fillId="20" borderId="0" applyNumberFormat="0" applyBorder="0" applyAlignment="0" applyProtection="0"/>
    <xf numFmtId="0" fontId="123" fillId="21" borderId="0" applyNumberFormat="0" applyBorder="0" applyAlignment="0" applyProtection="0"/>
    <xf numFmtId="0" fontId="123" fillId="22" borderId="0" applyNumberFormat="0" applyBorder="0" applyAlignment="0" applyProtection="0"/>
    <xf numFmtId="0" fontId="123" fillId="23" borderId="0" applyNumberFormat="0" applyBorder="0" applyAlignment="0" applyProtection="0"/>
    <xf numFmtId="0" fontId="123" fillId="24" borderId="0" applyNumberFormat="0" applyBorder="0" applyAlignment="0" applyProtection="0"/>
    <xf numFmtId="0" fontId="123" fillId="25" borderId="0" applyNumberFormat="0" applyBorder="0" applyAlignment="0" applyProtection="0"/>
    <xf numFmtId="0" fontId="124" fillId="26" borderId="0" applyNumberFormat="0" applyBorder="0" applyAlignment="0" applyProtection="0"/>
    <xf numFmtId="0" fontId="125" fillId="27" borderId="1" applyNumberFormat="0" applyAlignment="0" applyProtection="0"/>
    <xf numFmtId="0" fontId="1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27" fillId="0" borderId="0" applyNumberFormat="0" applyFill="0" applyBorder="0" applyAlignment="0" applyProtection="0"/>
    <xf numFmtId="0" fontId="128" fillId="0" borderId="0" applyNumberFormat="0" applyFill="0" applyBorder="0" applyAlignment="0" applyProtection="0"/>
    <xf numFmtId="0" fontId="129" fillId="29" borderId="0" applyNumberFormat="0" applyBorder="0" applyAlignment="0" applyProtection="0"/>
    <xf numFmtId="0" fontId="130" fillId="0" borderId="3" applyNumberFormat="0" applyFill="0" applyAlignment="0" applyProtection="0"/>
    <xf numFmtId="0" fontId="131" fillId="0" borderId="4" applyNumberFormat="0" applyFill="0" applyAlignment="0" applyProtection="0"/>
    <xf numFmtId="0" fontId="132" fillId="0" borderId="5" applyNumberFormat="0" applyFill="0" applyAlignment="0" applyProtection="0"/>
    <xf numFmtId="0" fontId="132" fillId="0" borderId="0" applyNumberFormat="0" applyFill="0" applyBorder="0" applyAlignment="0" applyProtection="0"/>
    <xf numFmtId="0" fontId="133" fillId="0" borderId="0" applyNumberFormat="0" applyFill="0" applyBorder="0" applyAlignment="0" applyProtection="0"/>
    <xf numFmtId="0" fontId="134" fillId="30" borderId="1" applyNumberFormat="0" applyAlignment="0" applyProtection="0"/>
    <xf numFmtId="0" fontId="135" fillId="0" borderId="6" applyNumberFormat="0" applyFill="0" applyAlignment="0" applyProtection="0"/>
    <xf numFmtId="0" fontId="136" fillId="31" borderId="0" applyNumberFormat="0" applyBorder="0" applyAlignment="0" applyProtection="0"/>
    <xf numFmtId="0" fontId="2" fillId="0" borderId="0">
      <alignment/>
      <protection/>
    </xf>
    <xf numFmtId="0" fontId="3" fillId="0" borderId="0">
      <alignment/>
      <protection/>
    </xf>
    <xf numFmtId="0" fontId="3" fillId="0" borderId="0">
      <alignment/>
      <protection/>
    </xf>
    <xf numFmtId="0" fontId="2" fillId="0" borderId="0">
      <alignment/>
      <protection/>
    </xf>
    <xf numFmtId="0" fontId="0" fillId="32" borderId="7" applyNumberFormat="0" applyFont="0" applyAlignment="0" applyProtection="0"/>
    <xf numFmtId="0" fontId="137" fillId="27" borderId="8" applyNumberFormat="0" applyAlignment="0" applyProtection="0"/>
    <xf numFmtId="9" fontId="0" fillId="0" borderId="0" applyFont="0" applyFill="0" applyBorder="0" applyAlignment="0" applyProtection="0"/>
    <xf numFmtId="0" fontId="138" fillId="0" borderId="0" applyNumberFormat="0" applyFill="0" applyBorder="0" applyAlignment="0" applyProtection="0"/>
    <xf numFmtId="0" fontId="139" fillId="0" borderId="9" applyNumberFormat="0" applyFill="0" applyAlignment="0" applyProtection="0"/>
    <xf numFmtId="0" fontId="140" fillId="0" borderId="0" applyNumberFormat="0" applyFill="0" applyBorder="0" applyAlignment="0" applyProtection="0"/>
  </cellStyleXfs>
  <cellXfs count="858">
    <xf numFmtId="0" fontId="0" fillId="0" borderId="0" xfId="0" applyFont="1" applyAlignment="1">
      <alignment/>
    </xf>
    <xf numFmtId="0" fontId="0" fillId="0" borderId="0" xfId="0" applyAlignment="1">
      <alignment/>
    </xf>
    <xf numFmtId="0" fontId="4" fillId="0" borderId="0" xfId="0" applyFont="1" applyAlignment="1" applyProtection="1">
      <alignment vertical="top" wrapText="1"/>
      <protection hidden="1" locked="0"/>
    </xf>
    <xf numFmtId="0" fontId="0" fillId="0" borderId="0" xfId="0" applyAlignment="1" applyProtection="1">
      <alignment/>
      <protection hidden="1"/>
    </xf>
    <xf numFmtId="0" fontId="3" fillId="0" borderId="0" xfId="0" applyFont="1" applyAlignment="1">
      <alignment/>
    </xf>
    <xf numFmtId="0" fontId="141" fillId="0" borderId="0" xfId="0" applyFont="1" applyAlignment="1">
      <alignment/>
    </xf>
    <xf numFmtId="0" fontId="17" fillId="0" borderId="0" xfId="59" applyFont="1">
      <alignment/>
      <protection/>
    </xf>
    <xf numFmtId="0" fontId="139" fillId="0" borderId="0" xfId="0" applyFont="1" applyAlignment="1" applyProtection="1">
      <alignment horizontal="left" vertical="center"/>
      <protection hidden="1"/>
    </xf>
    <xf numFmtId="0" fontId="0" fillId="0" borderId="10" xfId="0" applyBorder="1" applyAlignment="1" applyProtection="1">
      <alignment/>
      <protection hidden="1"/>
    </xf>
    <xf numFmtId="0" fontId="0" fillId="0" borderId="0"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0" fontId="0" fillId="0" borderId="13" xfId="0" applyBorder="1" applyAlignment="1" applyProtection="1">
      <alignment/>
      <protection hidden="1"/>
    </xf>
    <xf numFmtId="0" fontId="0" fillId="0" borderId="14" xfId="0" applyBorder="1" applyAlignment="1" applyProtection="1">
      <alignment/>
      <protection hidden="1"/>
    </xf>
    <xf numFmtId="0" fontId="0" fillId="0" borderId="15" xfId="0" applyBorder="1" applyAlignment="1" applyProtection="1">
      <alignment/>
      <protection hidden="1"/>
    </xf>
    <xf numFmtId="0" fontId="2" fillId="0" borderId="0" xfId="59" applyFont="1" applyProtection="1">
      <alignment/>
      <protection hidden="1"/>
    </xf>
    <xf numFmtId="0" fontId="18" fillId="0" borderId="0" xfId="59" applyFont="1" applyAlignment="1" applyProtection="1">
      <alignment horizontal="center"/>
      <protection hidden="1"/>
    </xf>
    <xf numFmtId="0" fontId="2" fillId="0" borderId="0" xfId="59" applyFont="1" applyAlignment="1" applyProtection="1">
      <alignment horizontal="left" vertical="center"/>
      <protection hidden="1"/>
    </xf>
    <xf numFmtId="49" fontId="13" fillId="0" borderId="0" xfId="59" applyNumberFormat="1" applyFont="1" applyAlignment="1" applyProtection="1">
      <alignment vertical="center"/>
      <protection hidden="1"/>
    </xf>
    <xf numFmtId="0" fontId="2" fillId="0" borderId="0" xfId="59" applyFont="1" applyAlignment="1" applyProtection="1">
      <alignment vertical="center"/>
      <protection hidden="1"/>
    </xf>
    <xf numFmtId="0" fontId="2" fillId="0" borderId="0" xfId="59" applyFont="1" applyBorder="1" applyAlignment="1" applyProtection="1">
      <alignment horizontal="left" vertical="center"/>
      <protection hidden="1"/>
    </xf>
    <xf numFmtId="0" fontId="8" fillId="0" borderId="0" xfId="59" applyFont="1" applyAlignment="1" applyProtection="1">
      <alignment horizontal="center"/>
      <protection hidden="1"/>
    </xf>
    <xf numFmtId="0" fontId="4" fillId="0" borderId="16" xfId="59" applyFont="1" applyBorder="1" applyAlignment="1" applyProtection="1">
      <alignment horizontal="center" vertical="center" wrapText="1"/>
      <protection hidden="1"/>
    </xf>
    <xf numFmtId="0" fontId="4" fillId="0" borderId="17" xfId="59" applyFont="1" applyBorder="1" applyAlignment="1" applyProtection="1">
      <alignment horizontal="center" wrapText="1"/>
      <protection hidden="1"/>
    </xf>
    <xf numFmtId="0" fontId="8" fillId="0" borderId="0" xfId="59" applyFont="1" applyBorder="1" applyAlignment="1" applyProtection="1">
      <alignment horizontal="center" vertical="center"/>
      <protection hidden="1"/>
    </xf>
    <xf numFmtId="0" fontId="19" fillId="0" borderId="0" xfId="59" applyFont="1" applyBorder="1" applyAlignment="1" applyProtection="1">
      <alignment horizontal="center" vertical="center"/>
      <protection hidden="1"/>
    </xf>
    <xf numFmtId="0" fontId="8" fillId="0" borderId="0" xfId="59" applyFont="1" applyBorder="1" applyProtection="1">
      <alignment/>
      <protection hidden="1"/>
    </xf>
    <xf numFmtId="2" fontId="8" fillId="0" borderId="0" xfId="59" applyNumberFormat="1" applyFont="1" applyBorder="1" applyProtection="1">
      <alignment/>
      <protection hidden="1"/>
    </xf>
    <xf numFmtId="0" fontId="4" fillId="0" borderId="0" xfId="59" applyFont="1" applyBorder="1" applyAlignment="1" applyProtection="1">
      <alignment vertical="center"/>
      <protection hidden="1"/>
    </xf>
    <xf numFmtId="0" fontId="7" fillId="0" borderId="0" xfId="59" applyFont="1" applyBorder="1" applyAlignment="1" applyProtection="1">
      <alignment horizontal="center" vertical="center"/>
      <protection hidden="1"/>
    </xf>
    <xf numFmtId="1" fontId="14" fillId="0" borderId="0" xfId="59" applyNumberFormat="1" applyFont="1" applyBorder="1" applyAlignment="1" applyProtection="1">
      <alignment horizontal="center" vertical="center"/>
      <protection hidden="1"/>
    </xf>
    <xf numFmtId="0" fontId="4" fillId="0" borderId="0" xfId="59" applyFont="1" applyAlignment="1" applyProtection="1">
      <alignment horizontal="left" vertical="center"/>
      <protection hidden="1"/>
    </xf>
    <xf numFmtId="0" fontId="4" fillId="0" borderId="0" xfId="59" applyFont="1" applyAlignment="1" applyProtection="1">
      <alignment vertical="center"/>
      <protection hidden="1"/>
    </xf>
    <xf numFmtId="0" fontId="4" fillId="0" borderId="0" xfId="59" applyFont="1" applyAlignment="1" applyProtection="1">
      <alignment horizontal="right" vertical="center"/>
      <protection hidden="1"/>
    </xf>
    <xf numFmtId="0" fontId="21" fillId="0" borderId="0" xfId="59" applyFont="1" applyAlignment="1" applyProtection="1">
      <alignment horizontal="center"/>
      <protection hidden="1"/>
    </xf>
    <xf numFmtId="0" fontId="9" fillId="0" borderId="0" xfId="59" applyFont="1" applyBorder="1" applyAlignment="1" applyProtection="1">
      <alignment/>
      <protection hidden="1"/>
    </xf>
    <xf numFmtId="0" fontId="2" fillId="0" borderId="0" xfId="59" applyFont="1" applyBorder="1" applyAlignment="1" applyProtection="1">
      <alignment/>
      <protection hidden="1"/>
    </xf>
    <xf numFmtId="0" fontId="4" fillId="0" borderId="0" xfId="59" applyFont="1" applyBorder="1" applyAlignment="1" applyProtection="1">
      <alignment/>
      <protection hidden="1"/>
    </xf>
    <xf numFmtId="0" fontId="2" fillId="0" borderId="0" xfId="59" applyFont="1" applyBorder="1" applyProtection="1">
      <alignment/>
      <protection hidden="1"/>
    </xf>
    <xf numFmtId="0" fontId="4" fillId="0" borderId="0" xfId="59" applyFont="1" applyBorder="1" applyAlignment="1" applyProtection="1">
      <alignment horizontal="left"/>
      <protection hidden="1"/>
    </xf>
    <xf numFmtId="0" fontId="6" fillId="0" borderId="0" xfId="59" applyFont="1" applyAlignment="1" applyProtection="1">
      <alignment horizontal="left" vertical="center"/>
      <protection hidden="1"/>
    </xf>
    <xf numFmtId="0" fontId="6" fillId="0" borderId="0" xfId="59" applyFont="1" applyAlignment="1" applyProtection="1">
      <alignment horizontal="left" vertical="center" wrapText="1"/>
      <protection hidden="1"/>
    </xf>
    <xf numFmtId="0" fontId="12" fillId="0" borderId="0" xfId="59" applyFont="1" applyBorder="1" applyAlignment="1" applyProtection="1">
      <alignment horizontal="left" vertical="center" wrapText="1"/>
      <protection hidden="1"/>
    </xf>
    <xf numFmtId="0" fontId="4" fillId="0" borderId="0" xfId="59" applyFont="1" applyAlignment="1" applyProtection="1">
      <alignment horizontal="left"/>
      <protection hidden="1"/>
    </xf>
    <xf numFmtId="0" fontId="2" fillId="0" borderId="0" xfId="59" applyFont="1" applyAlignment="1" applyProtection="1">
      <alignment/>
      <protection hidden="1"/>
    </xf>
    <xf numFmtId="0" fontId="141" fillId="0" borderId="0" xfId="0" applyFont="1" applyAlignment="1" applyProtection="1">
      <alignment/>
      <protection hidden="1"/>
    </xf>
    <xf numFmtId="0" fontId="4" fillId="0" borderId="18" xfId="59" applyFont="1" applyBorder="1" applyAlignment="1" applyProtection="1">
      <alignment vertical="center"/>
      <protection hidden="1"/>
    </xf>
    <xf numFmtId="0" fontId="11" fillId="0" borderId="19" xfId="59" applyFont="1" applyBorder="1" applyAlignment="1" applyProtection="1">
      <alignment horizontal="center" vertical="center"/>
      <protection hidden="1"/>
    </xf>
    <xf numFmtId="0" fontId="13" fillId="0" borderId="0" xfId="59" applyFont="1" applyBorder="1" applyProtection="1">
      <alignment/>
      <protection hidden="1"/>
    </xf>
    <xf numFmtId="0" fontId="13" fillId="0" borderId="0" xfId="59" applyFont="1" applyBorder="1" applyAlignment="1" applyProtection="1">
      <alignment horizontal="center"/>
      <protection hidden="1"/>
    </xf>
    <xf numFmtId="0" fontId="11" fillId="0" borderId="0" xfId="59" applyFont="1" applyBorder="1" applyAlignment="1" applyProtection="1">
      <alignment horizontal="center" vertical="center"/>
      <protection hidden="1"/>
    </xf>
    <xf numFmtId="2" fontId="11" fillId="0" borderId="0" xfId="59" applyNumberFormat="1" applyFont="1" applyBorder="1" applyAlignment="1" applyProtection="1">
      <alignment horizontal="center" vertical="center"/>
      <protection hidden="1"/>
    </xf>
    <xf numFmtId="0" fontId="6" fillId="0" borderId="0" xfId="59" applyFont="1" applyBorder="1" applyAlignment="1" applyProtection="1">
      <alignment vertical="center"/>
      <protection hidden="1"/>
    </xf>
    <xf numFmtId="1" fontId="4" fillId="0" borderId="0" xfId="59" applyNumberFormat="1" applyFont="1" applyBorder="1" applyAlignment="1" applyProtection="1">
      <alignment horizontal="left" vertical="center"/>
      <protection hidden="1"/>
    </xf>
    <xf numFmtId="0" fontId="141" fillId="0" borderId="0" xfId="0" applyFont="1" applyAlignment="1" applyProtection="1">
      <alignment vertical="center"/>
      <protection hidden="1"/>
    </xf>
    <xf numFmtId="0" fontId="4" fillId="0" borderId="17" xfId="59" applyFont="1" applyBorder="1" applyAlignment="1" applyProtection="1">
      <alignment horizontal="center" vertical="center" wrapText="1"/>
      <protection hidden="1"/>
    </xf>
    <xf numFmtId="0" fontId="4" fillId="0" borderId="0" xfId="59" applyFont="1" applyBorder="1" applyAlignment="1" applyProtection="1">
      <alignment horizontal="left" vertical="center"/>
      <protection hidden="1"/>
    </xf>
    <xf numFmtId="0" fontId="2" fillId="0" borderId="0" xfId="59" applyFont="1" applyBorder="1" applyAlignment="1" applyProtection="1">
      <alignment horizontal="center"/>
      <protection hidden="1"/>
    </xf>
    <xf numFmtId="0" fontId="4" fillId="0" borderId="0" xfId="59" applyFont="1" applyBorder="1" applyAlignment="1" applyProtection="1">
      <alignment horizontal="center" vertical="center"/>
      <protection hidden="1"/>
    </xf>
    <xf numFmtId="0" fontId="17" fillId="0" borderId="0" xfId="59" applyFont="1" applyProtection="1">
      <alignment/>
      <protection hidden="1"/>
    </xf>
    <xf numFmtId="0" fontId="5" fillId="0" borderId="0" xfId="0" applyFont="1" applyAlignment="1" applyProtection="1">
      <alignment vertical="center"/>
      <protection hidden="1"/>
    </xf>
    <xf numFmtId="0" fontId="4" fillId="0" borderId="0" xfId="0" applyFont="1" applyAlignment="1" applyProtection="1">
      <alignment vertical="top"/>
      <protection hidden="1"/>
    </xf>
    <xf numFmtId="0" fontId="4" fillId="0" borderId="0" xfId="0" applyFont="1" applyAlignment="1" applyProtection="1">
      <alignment horizontal="left" vertical="center"/>
      <protection hidden="1"/>
    </xf>
    <xf numFmtId="0" fontId="4" fillId="0" borderId="0" xfId="0" applyFont="1" applyAlignment="1" applyProtection="1">
      <alignment vertical="top" wrapText="1"/>
      <protection hidden="1"/>
    </xf>
    <xf numFmtId="0" fontId="142" fillId="0" borderId="0" xfId="0" applyFont="1" applyAlignment="1" applyProtection="1">
      <alignment wrapText="1"/>
      <protection hidden="1"/>
    </xf>
    <xf numFmtId="0" fontId="139" fillId="0" borderId="20" xfId="0" applyFont="1" applyBorder="1" applyAlignment="1" applyProtection="1">
      <alignment horizontal="center" vertical="center" textRotation="90"/>
      <protection hidden="1"/>
    </xf>
    <xf numFmtId="0" fontId="139" fillId="0" borderId="20" xfId="0" applyFont="1" applyBorder="1" applyAlignment="1" applyProtection="1">
      <alignment horizontal="center" vertical="center"/>
      <protection hidden="1"/>
    </xf>
    <xf numFmtId="0" fontId="143" fillId="9" borderId="21" xfId="0" applyFont="1" applyFill="1" applyBorder="1" applyAlignment="1" applyProtection="1">
      <alignment horizontal="left" vertical="center"/>
      <protection hidden="1"/>
    </xf>
    <xf numFmtId="0" fontId="143" fillId="9" borderId="22" xfId="0" applyFont="1" applyFill="1" applyBorder="1" applyAlignment="1" applyProtection="1">
      <alignment horizontal="left" vertical="center"/>
      <protection hidden="1"/>
    </xf>
    <xf numFmtId="0" fontId="2" fillId="0" borderId="23" xfId="59" applyFont="1" applyBorder="1" applyProtection="1">
      <alignment/>
      <protection hidden="1"/>
    </xf>
    <xf numFmtId="0" fontId="25" fillId="0" borderId="24" xfId="59" applyFont="1" applyBorder="1" applyAlignment="1" applyProtection="1">
      <alignment horizontal="center"/>
      <protection hidden="1"/>
    </xf>
    <xf numFmtId="0" fontId="25" fillId="0" borderId="24" xfId="59" applyFont="1" applyBorder="1" applyProtection="1">
      <alignment/>
      <protection hidden="1"/>
    </xf>
    <xf numFmtId="0" fontId="2" fillId="0" borderId="24" xfId="59" applyFont="1" applyBorder="1" applyProtection="1">
      <alignment/>
      <protection hidden="1"/>
    </xf>
    <xf numFmtId="0" fontId="2" fillId="0" borderId="25" xfId="59" applyFont="1" applyBorder="1" applyProtection="1">
      <alignment/>
      <protection hidden="1"/>
    </xf>
    <xf numFmtId="0" fontId="2" fillId="0" borderId="10" xfId="59" applyFont="1" applyBorder="1" applyProtection="1">
      <alignment/>
      <protection hidden="1"/>
    </xf>
    <xf numFmtId="0" fontId="8" fillId="0" borderId="0" xfId="59" applyFont="1" applyBorder="1" applyAlignment="1" applyProtection="1">
      <alignment horizontal="center" vertical="top" wrapText="1"/>
      <protection hidden="1"/>
    </xf>
    <xf numFmtId="0" fontId="2" fillId="0" borderId="11" xfId="59" applyFont="1" applyBorder="1" applyProtection="1">
      <alignment/>
      <protection hidden="1"/>
    </xf>
    <xf numFmtId="0" fontId="25" fillId="0" borderId="0" xfId="59" applyFont="1" applyBorder="1" applyAlignment="1" applyProtection="1">
      <alignment horizontal="center"/>
      <protection hidden="1"/>
    </xf>
    <xf numFmtId="0" fontId="25" fillId="0" borderId="0" xfId="59" applyFont="1" applyBorder="1" applyProtection="1">
      <alignment/>
      <protection hidden="1"/>
    </xf>
    <xf numFmtId="0" fontId="2" fillId="0" borderId="10" xfId="59" applyFont="1" applyBorder="1" applyAlignment="1" applyProtection="1">
      <alignment horizontal="center" vertical="center"/>
      <protection hidden="1"/>
    </xf>
    <xf numFmtId="0" fontId="27" fillId="0" borderId="20" xfId="59" applyFont="1" applyBorder="1" applyAlignment="1" applyProtection="1">
      <alignment horizontal="center" vertical="center" wrapText="1"/>
      <protection hidden="1"/>
    </xf>
    <xf numFmtId="0" fontId="13" fillId="0" borderId="20" xfId="59" applyFont="1" applyBorder="1" applyAlignment="1" applyProtection="1">
      <alignment horizontal="center" vertical="center" wrapText="1"/>
      <protection hidden="1"/>
    </xf>
    <xf numFmtId="0" fontId="2" fillId="0" borderId="11" xfId="59" applyFont="1" applyBorder="1" applyAlignment="1" applyProtection="1">
      <alignment horizontal="center" vertical="center"/>
      <protection hidden="1"/>
    </xf>
    <xf numFmtId="0" fontId="28" fillId="0" borderId="20" xfId="59" applyFont="1" applyBorder="1" applyAlignment="1" applyProtection="1">
      <alignment horizontal="center" vertical="center"/>
      <protection hidden="1"/>
    </xf>
    <xf numFmtId="0" fontId="25" fillId="0" borderId="0" xfId="59" applyFont="1" applyBorder="1" applyAlignment="1" applyProtection="1">
      <alignment horizontal="left" vertical="center"/>
      <protection hidden="1"/>
    </xf>
    <xf numFmtId="0" fontId="25" fillId="0" borderId="0" xfId="59" applyFont="1" applyBorder="1" applyAlignment="1" applyProtection="1">
      <alignment horizontal="center" vertical="top" wrapText="1"/>
      <protection hidden="1"/>
    </xf>
    <xf numFmtId="0" fontId="25" fillId="0" borderId="0" xfId="59" applyFont="1" applyBorder="1" applyAlignment="1" applyProtection="1">
      <alignment horizontal="justify" vertical="top" wrapText="1"/>
      <protection hidden="1"/>
    </xf>
    <xf numFmtId="0" fontId="2" fillId="0" borderId="0" xfId="59" applyFont="1" applyBorder="1" applyAlignment="1" applyProtection="1">
      <alignment vertical="top"/>
      <protection hidden="1"/>
    </xf>
    <xf numFmtId="0" fontId="2" fillId="0" borderId="0" xfId="59" applyFont="1" applyBorder="1" applyAlignment="1" applyProtection="1">
      <alignment vertical="top" wrapText="1"/>
      <protection hidden="1"/>
    </xf>
    <xf numFmtId="0" fontId="2" fillId="0" borderId="0" xfId="59" applyFont="1" applyBorder="1" applyAlignment="1" applyProtection="1">
      <alignment horizontal="center" vertical="top" wrapText="1"/>
      <protection hidden="1"/>
    </xf>
    <xf numFmtId="0" fontId="2" fillId="0" borderId="13" xfId="59" applyFont="1" applyBorder="1" applyProtection="1">
      <alignment/>
      <protection hidden="1"/>
    </xf>
    <xf numFmtId="0" fontId="25" fillId="0" borderId="14" xfId="59" applyFont="1" applyBorder="1" applyAlignment="1" applyProtection="1">
      <alignment horizontal="center"/>
      <protection hidden="1"/>
    </xf>
    <xf numFmtId="0" fontId="2" fillId="0" borderId="14" xfId="59" applyFont="1" applyBorder="1" applyAlignment="1" applyProtection="1">
      <alignment horizontal="center" vertical="top" wrapText="1"/>
      <protection hidden="1"/>
    </xf>
    <xf numFmtId="0" fontId="2" fillId="0" borderId="14" xfId="59" applyFont="1" applyBorder="1" applyProtection="1">
      <alignment/>
      <protection hidden="1"/>
    </xf>
    <xf numFmtId="0" fontId="2" fillId="0" borderId="15" xfId="59" applyFont="1" applyBorder="1" applyProtection="1">
      <alignment/>
      <protection hidden="1"/>
    </xf>
    <xf numFmtId="0" fontId="2" fillId="0" borderId="0" xfId="59" applyFont="1" applyBorder="1" applyAlignment="1" applyProtection="1">
      <alignment wrapText="1"/>
      <protection hidden="1"/>
    </xf>
    <xf numFmtId="182" fontId="14" fillId="0" borderId="0" xfId="59" applyNumberFormat="1" applyFont="1" applyBorder="1" applyAlignment="1" applyProtection="1">
      <alignment/>
      <protection hidden="1"/>
    </xf>
    <xf numFmtId="185" fontId="30" fillId="0" borderId="0" xfId="59" applyNumberFormat="1" applyFont="1" applyBorder="1" applyAlignment="1" applyProtection="1">
      <alignment/>
      <protection hidden="1"/>
    </xf>
    <xf numFmtId="0" fontId="143" fillId="0" borderId="26" xfId="0" applyFont="1" applyFill="1" applyBorder="1" applyAlignment="1" applyProtection="1">
      <alignment vertical="center"/>
      <protection hidden="1"/>
    </xf>
    <xf numFmtId="0" fontId="143" fillId="0" borderId="27" xfId="0" applyFont="1" applyFill="1" applyBorder="1" applyAlignment="1" applyProtection="1">
      <alignment vertical="center"/>
      <protection hidden="1"/>
    </xf>
    <xf numFmtId="0" fontId="143" fillId="0" borderId="26" xfId="0" applyFont="1" applyFill="1" applyBorder="1" applyAlignment="1" applyProtection="1">
      <alignment vertical="center"/>
      <protection hidden="1" locked="0"/>
    </xf>
    <xf numFmtId="0" fontId="143" fillId="0" borderId="26" xfId="0" applyFont="1" applyFill="1" applyBorder="1" applyAlignment="1" applyProtection="1">
      <alignment vertical="center" wrapText="1"/>
      <protection hidden="1"/>
    </xf>
    <xf numFmtId="0" fontId="144" fillId="0" borderId="28" xfId="0" applyFont="1" applyFill="1" applyBorder="1" applyAlignment="1" applyProtection="1">
      <alignment horizontal="center" vertical="center"/>
      <protection hidden="1" locked="0"/>
    </xf>
    <xf numFmtId="0" fontId="144" fillId="0" borderId="29" xfId="0" applyFont="1" applyFill="1" applyBorder="1" applyAlignment="1" applyProtection="1">
      <alignment horizontal="left" vertical="center"/>
      <protection hidden="1" locked="0"/>
    </xf>
    <xf numFmtId="0" fontId="144" fillId="0" borderId="21" xfId="0" applyFont="1" applyFill="1" applyBorder="1" applyAlignment="1" applyProtection="1">
      <alignment horizontal="center" vertical="center"/>
      <protection hidden="1" locked="0"/>
    </xf>
    <xf numFmtId="0" fontId="144" fillId="0" borderId="30" xfId="0" applyFont="1" applyFill="1" applyBorder="1" applyAlignment="1" applyProtection="1">
      <alignment horizontal="center" vertical="center"/>
      <protection hidden="1" locked="0"/>
    </xf>
    <xf numFmtId="0" fontId="0" fillId="0" borderId="0" xfId="0" applyFill="1" applyAlignment="1">
      <alignment/>
    </xf>
    <xf numFmtId="14" fontId="144" fillId="0" borderId="31" xfId="0" applyNumberFormat="1" applyFont="1" applyFill="1" applyBorder="1" applyAlignment="1" applyProtection="1">
      <alignment vertical="center"/>
      <protection hidden="1" locked="0"/>
    </xf>
    <xf numFmtId="0" fontId="0" fillId="0" borderId="32" xfId="0" applyBorder="1" applyAlignment="1">
      <alignment horizontal="center"/>
    </xf>
    <xf numFmtId="0" fontId="144" fillId="33" borderId="29" xfId="0" applyFont="1" applyFill="1" applyBorder="1" applyAlignment="1" applyProtection="1">
      <alignment horizontal="center" vertical="center"/>
      <protection hidden="1" locked="0"/>
    </xf>
    <xf numFmtId="0" fontId="139" fillId="0" borderId="20" xfId="0" applyFont="1" applyBorder="1" applyAlignment="1" applyProtection="1">
      <alignment horizontal="center" vertical="center"/>
      <protection hidden="1"/>
    </xf>
    <xf numFmtId="0" fontId="143" fillId="9" borderId="33" xfId="0" applyFont="1" applyFill="1" applyBorder="1" applyAlignment="1" applyProtection="1">
      <alignment horizontal="left" vertical="center"/>
      <protection hidden="1"/>
    </xf>
    <xf numFmtId="0" fontId="143" fillId="9" borderId="29" xfId="0" applyFont="1" applyFill="1" applyBorder="1" applyAlignment="1" applyProtection="1">
      <alignment horizontal="left" vertical="center"/>
      <protection hidden="1"/>
    </xf>
    <xf numFmtId="0" fontId="143" fillId="9" borderId="34" xfId="0" applyFont="1" applyFill="1" applyBorder="1" applyAlignment="1" applyProtection="1">
      <alignment horizontal="left" vertical="center"/>
      <protection hidden="1"/>
    </xf>
    <xf numFmtId="14" fontId="144" fillId="0" borderId="35" xfId="0" applyNumberFormat="1" applyFont="1" applyFill="1" applyBorder="1" applyAlignment="1" applyProtection="1">
      <alignment vertical="center"/>
      <protection hidden="1" locked="0"/>
    </xf>
    <xf numFmtId="0" fontId="143" fillId="0" borderId="0" xfId="0" applyFont="1" applyAlignment="1" applyProtection="1">
      <alignment/>
      <protection hidden="1"/>
    </xf>
    <xf numFmtId="0" fontId="141" fillId="0" borderId="0" xfId="0" applyFont="1" applyAlignment="1" applyProtection="1">
      <alignment horizontal="left" vertical="center" wrapText="1"/>
      <protection hidden="1"/>
    </xf>
    <xf numFmtId="0" fontId="141" fillId="0" borderId="0" xfId="0" applyFont="1" applyAlignment="1" applyProtection="1">
      <alignment horizontal="left" vertical="center"/>
      <protection hidden="1"/>
    </xf>
    <xf numFmtId="0" fontId="141" fillId="0" borderId="0" xfId="0" applyFont="1" applyAlignment="1" applyProtection="1">
      <alignment horizontal="right" vertical="top"/>
      <protection hidden="1"/>
    </xf>
    <xf numFmtId="0" fontId="144" fillId="0" borderId="0" xfId="0" applyFont="1" applyAlignment="1" applyProtection="1">
      <alignment horizontal="center" vertical="center"/>
      <protection hidden="1"/>
    </xf>
    <xf numFmtId="0" fontId="141" fillId="0" borderId="0" xfId="0" applyFont="1" applyAlignment="1">
      <alignment horizontal="left" vertical="center"/>
    </xf>
    <xf numFmtId="0" fontId="141" fillId="0" borderId="0" xfId="0" applyFont="1" applyAlignment="1" applyProtection="1">
      <alignment vertical="top"/>
      <protection hidden="1"/>
    </xf>
    <xf numFmtId="0" fontId="143" fillId="0" borderId="0" xfId="0" applyFont="1" applyAlignment="1" applyProtection="1">
      <alignment horizontal="left" vertical="top"/>
      <protection hidden="1"/>
    </xf>
    <xf numFmtId="0" fontId="144" fillId="0" borderId="29" xfId="0" applyFont="1" applyFill="1" applyBorder="1" applyAlignment="1" applyProtection="1">
      <alignment horizontal="left" vertical="center"/>
      <protection hidden="1" locked="0"/>
    </xf>
    <xf numFmtId="0" fontId="144" fillId="0" borderId="36" xfId="0" applyFont="1" applyFill="1" applyBorder="1" applyAlignment="1" applyProtection="1">
      <alignment horizontal="center" vertical="center"/>
      <protection hidden="1" locked="0"/>
    </xf>
    <xf numFmtId="0" fontId="0" fillId="0" borderId="37" xfId="0" applyFill="1" applyBorder="1" applyAlignment="1">
      <alignment/>
    </xf>
    <xf numFmtId="0" fontId="139" fillId="0" borderId="0" xfId="0" applyFont="1" applyAlignment="1" applyProtection="1">
      <alignment/>
      <protection hidden="1"/>
    </xf>
    <xf numFmtId="0" fontId="26" fillId="0" borderId="0" xfId="61" applyFont="1" applyBorder="1" applyProtection="1">
      <alignment/>
      <protection hidden="1"/>
    </xf>
    <xf numFmtId="0" fontId="6" fillId="0" borderId="0" xfId="61" applyFont="1" applyBorder="1" applyProtection="1">
      <alignment/>
      <protection hidden="1"/>
    </xf>
    <xf numFmtId="0" fontId="2" fillId="0" borderId="0" xfId="61" applyFont="1" applyBorder="1" applyProtection="1">
      <alignment/>
      <protection hidden="1"/>
    </xf>
    <xf numFmtId="0" fontId="141" fillId="0" borderId="0" xfId="0" applyFont="1" applyBorder="1" applyAlignment="1">
      <alignment/>
    </xf>
    <xf numFmtId="0" fontId="9" fillId="0" borderId="0" xfId="61" applyFont="1" applyBorder="1" applyProtection="1">
      <alignment/>
      <protection hidden="1"/>
    </xf>
    <xf numFmtId="49" fontId="9" fillId="0" borderId="0" xfId="61" applyNumberFormat="1" applyFont="1" applyBorder="1" applyAlignment="1" applyProtection="1">
      <alignment horizontal="left"/>
      <protection hidden="1"/>
    </xf>
    <xf numFmtId="49" fontId="2" fillId="0" borderId="0" xfId="61" applyNumberFormat="1" applyFont="1" applyBorder="1" applyAlignment="1" applyProtection="1">
      <alignment horizontal="left"/>
      <protection hidden="1"/>
    </xf>
    <xf numFmtId="0" fontId="144" fillId="0" borderId="20" xfId="0" applyFont="1" applyBorder="1" applyAlignment="1">
      <alignment horizontal="center" vertical="center"/>
    </xf>
    <xf numFmtId="186" fontId="145" fillId="0" borderId="20" xfId="0" applyNumberFormat="1" applyFont="1" applyBorder="1" applyAlignment="1">
      <alignment horizontal="center" vertical="center"/>
    </xf>
    <xf numFmtId="0" fontId="144" fillId="0" borderId="0" xfId="0" applyFont="1" applyBorder="1" applyAlignment="1">
      <alignment/>
    </xf>
    <xf numFmtId="0" fontId="4" fillId="0" borderId="0" xfId="61" applyFont="1" applyBorder="1" applyProtection="1">
      <alignment/>
      <protection hidden="1"/>
    </xf>
    <xf numFmtId="0" fontId="6" fillId="0" borderId="0" xfId="61" applyFont="1" applyBorder="1" applyAlignment="1" applyProtection="1">
      <alignment horizontal="center" vertical="center"/>
      <protection hidden="1"/>
    </xf>
    <xf numFmtId="0" fontId="6" fillId="0" borderId="0" xfId="61" applyNumberFormat="1" applyFont="1" applyBorder="1" applyProtection="1">
      <alignment/>
      <protection locked="0"/>
    </xf>
    <xf numFmtId="186" fontId="6" fillId="0" borderId="0" xfId="61" applyNumberFormat="1" applyFont="1" applyBorder="1" applyAlignment="1" applyProtection="1">
      <alignment horizontal="center" vertical="center"/>
      <protection hidden="1"/>
    </xf>
    <xf numFmtId="0" fontId="11" fillId="0" borderId="0" xfId="61" applyFont="1" applyBorder="1" applyAlignment="1" applyProtection="1">
      <alignment horizontal="center" vertical="center"/>
      <protection hidden="1"/>
    </xf>
    <xf numFmtId="0" fontId="145" fillId="0" borderId="20" xfId="0" applyFont="1" applyBorder="1" applyAlignment="1">
      <alignment horizontal="center" vertical="center" wrapText="1"/>
    </xf>
    <xf numFmtId="0" fontId="139" fillId="0" borderId="12" xfId="0" applyFont="1" applyBorder="1" applyAlignment="1" applyProtection="1">
      <alignment/>
      <protection hidden="1"/>
    </xf>
    <xf numFmtId="0" fontId="139" fillId="0" borderId="20" xfId="0" applyFont="1" applyBorder="1" applyAlignment="1" applyProtection="1">
      <alignment horizontal="center" vertical="center"/>
      <protection hidden="1" locked="0"/>
    </xf>
    <xf numFmtId="0" fontId="0" fillId="0" borderId="0" xfId="0" applyAlignment="1" applyProtection="1">
      <alignment/>
      <protection hidden="1" locked="0"/>
    </xf>
    <xf numFmtId="0" fontId="139" fillId="0" borderId="20" xfId="0" applyFont="1" applyBorder="1" applyAlignment="1" applyProtection="1">
      <alignment horizontal="center" vertical="center" wrapText="1"/>
      <protection hidden="1"/>
    </xf>
    <xf numFmtId="0" fontId="144" fillId="0" borderId="0" xfId="0" applyFont="1" applyAlignment="1" applyProtection="1">
      <alignment horizontal="center"/>
      <protection hidden="1"/>
    </xf>
    <xf numFmtId="0" fontId="146" fillId="0" borderId="20" xfId="0" applyFont="1" applyBorder="1" applyAlignment="1" applyProtection="1">
      <alignment horizontal="center" vertical="center" textRotation="90"/>
      <protection hidden="1"/>
    </xf>
    <xf numFmtId="0" fontId="147" fillId="0" borderId="20" xfId="0" applyFont="1" applyBorder="1" applyAlignment="1" applyProtection="1">
      <alignment horizontal="center" vertical="center" textRotation="90"/>
      <protection hidden="1"/>
    </xf>
    <xf numFmtId="0" fontId="144" fillId="0" borderId="20" xfId="0" applyFont="1" applyBorder="1" applyAlignment="1" applyProtection="1">
      <alignment horizontal="center" vertical="center" textRotation="90"/>
      <protection hidden="1"/>
    </xf>
    <xf numFmtId="0" fontId="0" fillId="0" borderId="0" xfId="0" applyBorder="1" applyAlignment="1" applyProtection="1">
      <alignment/>
      <protection hidden="1"/>
    </xf>
    <xf numFmtId="0" fontId="144" fillId="0" borderId="38" xfId="0" applyFont="1" applyBorder="1" applyAlignment="1" applyProtection="1">
      <alignment horizontal="center" vertical="center" textRotation="90"/>
      <protection hidden="1"/>
    </xf>
    <xf numFmtId="14" fontId="141" fillId="0" borderId="0" xfId="0" applyNumberFormat="1" applyFont="1" applyAlignment="1" applyProtection="1">
      <alignment horizontal="left"/>
      <protection hidden="1" locked="0"/>
    </xf>
    <xf numFmtId="0" fontId="148" fillId="0" borderId="20" xfId="0" applyFont="1" applyBorder="1" applyAlignment="1" applyProtection="1">
      <alignment horizontal="center" vertical="center" wrapText="1"/>
      <protection hidden="1" locked="0"/>
    </xf>
    <xf numFmtId="178" fontId="148" fillId="0" borderId="20" xfId="0" applyNumberFormat="1" applyFont="1" applyBorder="1" applyAlignment="1" applyProtection="1">
      <alignment horizontal="center" vertical="center" wrapText="1"/>
      <protection hidden="1" locked="0"/>
    </xf>
    <xf numFmtId="0" fontId="147" fillId="0" borderId="0" xfId="0" applyFont="1" applyAlignment="1" applyProtection="1">
      <alignment vertical="center"/>
      <protection hidden="1" locked="0"/>
    </xf>
    <xf numFmtId="0" fontId="147" fillId="0" borderId="0" xfId="0" applyFont="1" applyAlignment="1" applyProtection="1">
      <alignment horizontal="center"/>
      <protection hidden="1" locked="0"/>
    </xf>
    <xf numFmtId="0" fontId="149" fillId="9" borderId="34" xfId="0" applyFont="1" applyFill="1" applyBorder="1" applyAlignment="1">
      <alignment vertical="center"/>
    </xf>
    <xf numFmtId="0" fontId="150" fillId="9" borderId="39" xfId="0" applyFont="1" applyFill="1" applyBorder="1" applyAlignment="1" applyProtection="1">
      <alignment vertical="center"/>
      <protection hidden="1"/>
    </xf>
    <xf numFmtId="0" fontId="151" fillId="0" borderId="0" xfId="0" applyFont="1" applyAlignment="1" applyProtection="1">
      <alignment vertical="center"/>
      <protection hidden="1"/>
    </xf>
    <xf numFmtId="0" fontId="70" fillId="0" borderId="0" xfId="0" applyFont="1" applyBorder="1" applyAlignment="1" applyProtection="1">
      <alignment vertical="center" textRotation="90"/>
      <protection hidden="1"/>
    </xf>
    <xf numFmtId="0" fontId="70" fillId="0" borderId="40" xfId="0" applyFont="1" applyBorder="1" applyAlignment="1" applyProtection="1">
      <alignment horizontal="center" vertical="center" wrapText="1"/>
      <protection hidden="1"/>
    </xf>
    <xf numFmtId="0" fontId="70" fillId="0" borderId="0" xfId="0" applyFont="1" applyBorder="1" applyAlignment="1" applyProtection="1">
      <alignment horizontal="center" vertical="center"/>
      <protection hidden="1"/>
    </xf>
    <xf numFmtId="0" fontId="71" fillId="0" borderId="20" xfId="0" applyFont="1" applyBorder="1" applyAlignment="1" applyProtection="1">
      <alignment horizontal="center" vertical="center"/>
      <protection hidden="1"/>
    </xf>
    <xf numFmtId="0" fontId="71" fillId="0" borderId="0" xfId="0" applyFont="1" applyBorder="1" applyAlignment="1" applyProtection="1">
      <alignment horizontal="center" vertical="center"/>
      <protection hidden="1"/>
    </xf>
    <xf numFmtId="0" fontId="72" fillId="0" borderId="0" xfId="0" applyFont="1" applyBorder="1" applyAlignment="1" applyProtection="1">
      <alignment horizontal="center" vertical="center"/>
      <protection hidden="1"/>
    </xf>
    <xf numFmtId="0" fontId="151" fillId="0" borderId="0" xfId="0" applyFont="1" applyBorder="1" applyAlignment="1" applyProtection="1">
      <alignment vertical="center"/>
      <protection hidden="1"/>
    </xf>
    <xf numFmtId="0" fontId="152" fillId="0" borderId="41" xfId="0" applyFont="1" applyBorder="1" applyAlignment="1" applyProtection="1">
      <alignment vertical="center"/>
      <protection hidden="1"/>
    </xf>
    <xf numFmtId="0" fontId="74" fillId="0" borderId="42" xfId="0" applyFont="1" applyBorder="1" applyAlignment="1" applyProtection="1">
      <alignment vertical="center" wrapText="1"/>
      <protection hidden="1"/>
    </xf>
    <xf numFmtId="0" fontId="75" fillId="0" borderId="40" xfId="0" applyFont="1" applyBorder="1" applyAlignment="1" applyProtection="1">
      <alignment vertical="center"/>
      <protection hidden="1"/>
    </xf>
    <xf numFmtId="0" fontId="75" fillId="0" borderId="0" xfId="0" applyFont="1" applyBorder="1" applyAlignment="1" applyProtection="1">
      <alignment vertical="center"/>
      <protection hidden="1"/>
    </xf>
    <xf numFmtId="0" fontId="76" fillId="0" borderId="0" xfId="0" applyFont="1" applyBorder="1" applyAlignment="1" applyProtection="1">
      <alignment horizontal="center" vertical="center"/>
      <protection hidden="1"/>
    </xf>
    <xf numFmtId="0" fontId="77" fillId="0" borderId="0" xfId="0" applyFont="1" applyBorder="1" applyAlignment="1" applyProtection="1">
      <alignment horizontal="center" vertical="center"/>
      <protection hidden="1"/>
    </xf>
    <xf numFmtId="0" fontId="151" fillId="0" borderId="41" xfId="0" applyFont="1" applyBorder="1" applyAlignment="1" applyProtection="1">
      <alignment vertical="center"/>
      <protection hidden="1"/>
    </xf>
    <xf numFmtId="0" fontId="78" fillId="0" borderId="0" xfId="0" applyFont="1" applyBorder="1" applyAlignment="1" applyProtection="1">
      <alignment vertical="center"/>
      <protection hidden="1"/>
    </xf>
    <xf numFmtId="0" fontId="151" fillId="0" borderId="43" xfId="0" applyFont="1" applyBorder="1" applyAlignment="1" applyProtection="1">
      <alignment vertical="center"/>
      <protection hidden="1"/>
    </xf>
    <xf numFmtId="0" fontId="151" fillId="0" borderId="44" xfId="0" applyFont="1" applyBorder="1" applyAlignment="1" applyProtection="1">
      <alignment vertical="center"/>
      <protection hidden="1"/>
    </xf>
    <xf numFmtId="0" fontId="74" fillId="0" borderId="45" xfId="0" applyFont="1" applyBorder="1" applyAlignment="1" applyProtection="1">
      <alignment vertical="center" wrapText="1"/>
      <protection hidden="1"/>
    </xf>
    <xf numFmtId="0" fontId="151" fillId="0" borderId="0" xfId="0" applyFont="1" applyBorder="1" applyAlignment="1" applyProtection="1">
      <alignment/>
      <protection hidden="1"/>
    </xf>
    <xf numFmtId="0" fontId="151" fillId="0" borderId="42" xfId="0" applyFont="1" applyBorder="1" applyAlignment="1" applyProtection="1">
      <alignment/>
      <protection hidden="1"/>
    </xf>
    <xf numFmtId="0" fontId="77" fillId="0" borderId="0" xfId="0" applyNumberFormat="1" applyFont="1" applyBorder="1" applyAlignment="1" applyProtection="1">
      <alignment vertical="center"/>
      <protection hidden="1"/>
    </xf>
    <xf numFmtId="0" fontId="151" fillId="0" borderId="40" xfId="0" applyFont="1" applyBorder="1" applyAlignment="1" applyProtection="1">
      <alignment vertical="center"/>
      <protection hidden="1"/>
    </xf>
    <xf numFmtId="0" fontId="151" fillId="0" borderId="42" xfId="0" applyFont="1" applyBorder="1" applyAlignment="1" applyProtection="1">
      <alignment vertical="center"/>
      <protection hidden="1"/>
    </xf>
    <xf numFmtId="0" fontId="79" fillId="0" borderId="0" xfId="0" applyFont="1" applyBorder="1" applyAlignment="1" applyProtection="1">
      <alignment horizontal="center" vertical="center"/>
      <protection hidden="1"/>
    </xf>
    <xf numFmtId="0" fontId="151" fillId="0" borderId="0" xfId="0" applyFont="1" applyBorder="1" applyAlignment="1" applyProtection="1">
      <alignment horizontal="center" vertical="center"/>
      <protection hidden="1"/>
    </xf>
    <xf numFmtId="0" fontId="72" fillId="0" borderId="20" xfId="0" applyFont="1" applyBorder="1" applyAlignment="1" applyProtection="1">
      <alignment horizontal="center" vertical="center"/>
      <protection hidden="1"/>
    </xf>
    <xf numFmtId="0" fontId="72" fillId="0" borderId="20" xfId="0" applyFont="1" applyBorder="1" applyAlignment="1" applyProtection="1" quotePrefix="1">
      <alignment horizontal="center" vertical="center"/>
      <protection hidden="1"/>
    </xf>
    <xf numFmtId="0" fontId="151" fillId="0" borderId="46" xfId="0" applyFont="1" applyBorder="1" applyAlignment="1" applyProtection="1">
      <alignment vertical="center"/>
      <protection hidden="1"/>
    </xf>
    <xf numFmtId="0" fontId="151" fillId="0" borderId="47" xfId="0" applyFont="1" applyBorder="1" applyAlignment="1" applyProtection="1">
      <alignment vertical="center"/>
      <protection hidden="1"/>
    </xf>
    <xf numFmtId="0" fontId="70" fillId="0" borderId="47" xfId="0" applyFont="1" applyBorder="1" applyAlignment="1" applyProtection="1">
      <alignment vertical="center"/>
      <protection hidden="1"/>
    </xf>
    <xf numFmtId="0" fontId="151" fillId="0" borderId="48" xfId="0" applyFont="1" applyBorder="1" applyAlignment="1" applyProtection="1">
      <alignment vertical="center"/>
      <protection hidden="1"/>
    </xf>
    <xf numFmtId="0" fontId="151" fillId="0" borderId="49" xfId="0" applyFont="1" applyBorder="1" applyAlignment="1" applyProtection="1">
      <alignment vertical="center"/>
      <protection hidden="1"/>
    </xf>
    <xf numFmtId="0" fontId="70" fillId="0" borderId="20" xfId="0" applyFont="1" applyBorder="1" applyAlignment="1" applyProtection="1">
      <alignment horizontal="center" vertical="center"/>
      <protection hidden="1"/>
    </xf>
    <xf numFmtId="0" fontId="77" fillId="0" borderId="0" xfId="0" applyFont="1" applyBorder="1" applyAlignment="1" applyProtection="1">
      <alignment vertical="center"/>
      <protection hidden="1"/>
    </xf>
    <xf numFmtId="0" fontId="77" fillId="0" borderId="42" xfId="0" applyFont="1" applyBorder="1" applyAlignment="1" applyProtection="1">
      <alignment vertical="center"/>
      <protection hidden="1"/>
    </xf>
    <xf numFmtId="0" fontId="78" fillId="0" borderId="0" xfId="0" applyFont="1" applyBorder="1" applyAlignment="1" applyProtection="1">
      <alignment horizontal="center" vertical="center"/>
      <protection hidden="1"/>
    </xf>
    <xf numFmtId="0" fontId="77" fillId="0" borderId="50" xfId="0" applyFont="1" applyBorder="1" applyAlignment="1" applyProtection="1">
      <alignment vertical="center"/>
      <protection hidden="1"/>
    </xf>
    <xf numFmtId="0" fontId="77" fillId="0" borderId="51" xfId="0" applyFont="1" applyBorder="1" applyAlignment="1" applyProtection="1">
      <alignment vertical="center"/>
      <protection hidden="1"/>
    </xf>
    <xf numFmtId="0" fontId="80" fillId="0" borderId="40" xfId="0" applyFont="1" applyBorder="1" applyAlignment="1" applyProtection="1">
      <alignment vertical="center"/>
      <protection hidden="1"/>
    </xf>
    <xf numFmtId="0" fontId="74" fillId="0" borderId="0" xfId="0" applyFont="1" applyBorder="1" applyAlignment="1" applyProtection="1">
      <alignment vertical="center"/>
      <protection hidden="1"/>
    </xf>
    <xf numFmtId="0" fontId="151" fillId="0" borderId="52" xfId="0" applyFont="1" applyBorder="1" applyAlignment="1" applyProtection="1">
      <alignment vertical="center"/>
      <protection hidden="1"/>
    </xf>
    <xf numFmtId="0" fontId="78" fillId="0" borderId="44" xfId="0" applyFont="1" applyBorder="1" applyAlignment="1" applyProtection="1">
      <alignment vertical="center"/>
      <protection hidden="1"/>
    </xf>
    <xf numFmtId="0" fontId="78" fillId="0" borderId="53" xfId="0" applyFont="1" applyBorder="1" applyAlignment="1" applyProtection="1">
      <alignment vertical="center"/>
      <protection hidden="1"/>
    </xf>
    <xf numFmtId="0" fontId="151" fillId="0" borderId="53" xfId="0" applyFont="1" applyBorder="1" applyAlignment="1" applyProtection="1">
      <alignment vertical="center"/>
      <protection hidden="1"/>
    </xf>
    <xf numFmtId="0" fontId="153" fillId="0" borderId="0" xfId="0" applyFont="1" applyBorder="1" applyAlignment="1" applyProtection="1">
      <alignment vertical="center"/>
      <protection hidden="1"/>
    </xf>
    <xf numFmtId="0" fontId="82" fillId="0" borderId="40" xfId="0" applyFont="1" applyBorder="1" applyAlignment="1" applyProtection="1">
      <alignment vertical="center"/>
      <protection hidden="1"/>
    </xf>
    <xf numFmtId="0" fontId="154" fillId="0" borderId="0" xfId="0" applyFont="1" applyBorder="1" applyAlignment="1" applyProtection="1">
      <alignment vertical="center"/>
      <protection hidden="1"/>
    </xf>
    <xf numFmtId="2" fontId="84" fillId="0" borderId="0" xfId="0" applyNumberFormat="1" applyFont="1" applyBorder="1" applyAlignment="1" applyProtection="1">
      <alignment vertical="center"/>
      <protection hidden="1"/>
    </xf>
    <xf numFmtId="0" fontId="151" fillId="0" borderId="54" xfId="0" applyFont="1" applyBorder="1" applyAlignment="1" applyProtection="1">
      <alignment vertical="center"/>
      <protection hidden="1"/>
    </xf>
    <xf numFmtId="0" fontId="151" fillId="0" borderId="0" xfId="0" applyFont="1" applyFill="1" applyBorder="1" applyAlignment="1" applyProtection="1">
      <alignment vertical="center"/>
      <protection hidden="1"/>
    </xf>
    <xf numFmtId="2" fontId="85" fillId="0" borderId="0" xfId="0" applyNumberFormat="1" applyFont="1" applyBorder="1" applyAlignment="1" applyProtection="1">
      <alignment vertical="center"/>
      <protection hidden="1"/>
    </xf>
    <xf numFmtId="0" fontId="151" fillId="0" borderId="50" xfId="0" applyFont="1" applyBorder="1" applyAlignment="1" applyProtection="1">
      <alignment vertical="center"/>
      <protection hidden="1"/>
    </xf>
    <xf numFmtId="0" fontId="151" fillId="0" borderId="55" xfId="0" applyFont="1" applyBorder="1" applyAlignment="1" applyProtection="1">
      <alignment vertical="center"/>
      <protection hidden="1"/>
    </xf>
    <xf numFmtId="0" fontId="70" fillId="0" borderId="0" xfId="0" applyFont="1" applyBorder="1" applyAlignment="1" applyProtection="1">
      <alignment vertical="center" wrapText="1"/>
      <protection hidden="1"/>
    </xf>
    <xf numFmtId="0" fontId="70" fillId="0" borderId="0" xfId="0" applyFont="1" applyBorder="1" applyAlignment="1" applyProtection="1">
      <alignment vertical="center"/>
      <protection hidden="1"/>
    </xf>
    <xf numFmtId="0" fontId="70" fillId="0" borderId="42" xfId="0" applyFont="1" applyBorder="1" applyAlignment="1" applyProtection="1">
      <alignment vertical="center"/>
      <protection hidden="1"/>
    </xf>
    <xf numFmtId="0" fontId="151" fillId="0" borderId="45" xfId="0" applyFont="1" applyBorder="1" applyAlignment="1" applyProtection="1">
      <alignment vertical="center"/>
      <protection hidden="1"/>
    </xf>
    <xf numFmtId="0" fontId="151" fillId="0" borderId="40" xfId="0" applyFont="1" applyBorder="1" applyAlignment="1" applyProtection="1" quotePrefix="1">
      <alignment vertical="center"/>
      <protection hidden="1"/>
    </xf>
    <xf numFmtId="0" fontId="77" fillId="0" borderId="0" xfId="0" applyFont="1" applyBorder="1" applyAlignment="1" applyProtection="1">
      <alignment horizontal="center" vertical="top" textRotation="90"/>
      <protection hidden="1"/>
    </xf>
    <xf numFmtId="0" fontId="151" fillId="0" borderId="56" xfId="0" applyFont="1" applyBorder="1" applyAlignment="1" applyProtection="1">
      <alignment vertical="center"/>
      <protection hidden="1"/>
    </xf>
    <xf numFmtId="0" fontId="151" fillId="0" borderId="57" xfId="0" applyFont="1" applyBorder="1" applyAlignment="1" applyProtection="1">
      <alignment vertical="center"/>
      <protection hidden="1"/>
    </xf>
    <xf numFmtId="0" fontId="151" fillId="0" borderId="57" xfId="0" applyFont="1" applyBorder="1" applyAlignment="1" applyProtection="1">
      <alignment/>
      <protection hidden="1"/>
    </xf>
    <xf numFmtId="0" fontId="151" fillId="0" borderId="58" xfId="0" applyFont="1" applyBorder="1" applyAlignment="1" applyProtection="1">
      <alignment vertical="center"/>
      <protection hidden="1"/>
    </xf>
    <xf numFmtId="49" fontId="144" fillId="0" borderId="29" xfId="0" applyNumberFormat="1" applyFont="1" applyFill="1" applyBorder="1" applyAlignment="1" applyProtection="1">
      <alignment horizontal="center" vertical="center"/>
      <protection hidden="1" locked="0"/>
    </xf>
    <xf numFmtId="2" fontId="41" fillId="0" borderId="0" xfId="0" applyNumberFormat="1" applyFont="1" applyFill="1" applyBorder="1" applyAlignment="1" applyProtection="1">
      <alignment vertical="center"/>
      <protection hidden="1"/>
    </xf>
    <xf numFmtId="0" fontId="151" fillId="0" borderId="11" xfId="0" applyFont="1" applyBorder="1" applyAlignment="1" applyProtection="1">
      <alignment/>
      <protection hidden="1"/>
    </xf>
    <xf numFmtId="0" fontId="151" fillId="0" borderId="10" xfId="0" applyFont="1" applyBorder="1" applyAlignment="1" applyProtection="1">
      <alignment vertical="center"/>
      <protection hidden="1"/>
    </xf>
    <xf numFmtId="0" fontId="151" fillId="0" borderId="11" xfId="0" applyFont="1" applyBorder="1" applyAlignment="1" applyProtection="1">
      <alignment vertical="center"/>
      <protection hidden="1"/>
    </xf>
    <xf numFmtId="0" fontId="151" fillId="0" borderId="10" xfId="0" applyFont="1" applyBorder="1" applyAlignment="1" applyProtection="1">
      <alignment/>
      <protection hidden="1"/>
    </xf>
    <xf numFmtId="0" fontId="151" fillId="0" borderId="13" xfId="0" applyFont="1" applyBorder="1" applyAlignment="1" applyProtection="1">
      <alignment/>
      <protection hidden="1"/>
    </xf>
    <xf numFmtId="0" fontId="151" fillId="0" borderId="14" xfId="0" applyFont="1" applyBorder="1" applyAlignment="1" applyProtection="1">
      <alignment/>
      <protection hidden="1"/>
    </xf>
    <xf numFmtId="0" fontId="151" fillId="0" borderId="15" xfId="0" applyFont="1" applyBorder="1" applyAlignment="1" applyProtection="1">
      <alignment/>
      <protection hidden="1"/>
    </xf>
    <xf numFmtId="0" fontId="155" fillId="0" borderId="10" xfId="0" applyFont="1" applyFill="1" applyBorder="1" applyAlignment="1" applyProtection="1" quotePrefix="1">
      <alignment horizontal="center" vertical="center"/>
      <protection hidden="1"/>
    </xf>
    <xf numFmtId="0" fontId="155" fillId="0" borderId="0" xfId="0" applyFont="1" applyFill="1" applyBorder="1" applyAlignment="1" applyProtection="1">
      <alignment vertical="center"/>
      <protection hidden="1"/>
    </xf>
    <xf numFmtId="0" fontId="155" fillId="0" borderId="11" xfId="0" applyFont="1" applyFill="1" applyBorder="1" applyAlignment="1" applyProtection="1">
      <alignment vertical="center"/>
      <protection hidden="1"/>
    </xf>
    <xf numFmtId="0" fontId="155" fillId="0" borderId="10" xfId="0" applyFont="1" applyFill="1" applyBorder="1" applyAlignment="1" applyProtection="1">
      <alignment vertical="center"/>
      <protection hidden="1"/>
    </xf>
    <xf numFmtId="0" fontId="155" fillId="0" borderId="0" xfId="0" applyFont="1" applyFill="1" applyBorder="1" applyAlignment="1" applyProtection="1">
      <alignment/>
      <protection hidden="1"/>
    </xf>
    <xf numFmtId="0" fontId="155" fillId="0" borderId="59" xfId="0" applyFont="1" applyFill="1" applyBorder="1" applyAlignment="1" applyProtection="1">
      <alignment vertical="center"/>
      <protection hidden="1"/>
    </xf>
    <xf numFmtId="0" fontId="155" fillId="0" borderId="60" xfId="0" applyFont="1" applyFill="1" applyBorder="1" applyAlignment="1" applyProtection="1">
      <alignment vertical="center"/>
      <protection hidden="1"/>
    </xf>
    <xf numFmtId="0" fontId="155" fillId="0" borderId="60" xfId="0" applyFont="1" applyFill="1" applyBorder="1" applyAlignment="1" applyProtection="1">
      <alignment/>
      <protection hidden="1"/>
    </xf>
    <xf numFmtId="0" fontId="155" fillId="0" borderId="61" xfId="0" applyFont="1" applyFill="1" applyBorder="1" applyAlignment="1" applyProtection="1">
      <alignment vertical="center"/>
      <protection hidden="1"/>
    </xf>
    <xf numFmtId="0" fontId="155" fillId="0" borderId="0" xfId="0" applyFont="1" applyBorder="1" applyAlignment="1" applyProtection="1">
      <alignment/>
      <protection hidden="1"/>
    </xf>
    <xf numFmtId="0" fontId="155" fillId="0" borderId="62" xfId="0" applyFont="1" applyFill="1" applyBorder="1" applyAlignment="1" applyProtection="1">
      <alignment vertical="center"/>
      <protection hidden="1"/>
    </xf>
    <xf numFmtId="0" fontId="155" fillId="0" borderId="63" xfId="0" applyFont="1" applyFill="1" applyBorder="1" applyAlignment="1" applyProtection="1">
      <alignment vertical="center"/>
      <protection hidden="1"/>
    </xf>
    <xf numFmtId="0" fontId="155" fillId="0" borderId="10" xfId="0" applyFont="1" applyFill="1" applyBorder="1" applyAlignment="1" applyProtection="1" quotePrefix="1">
      <alignment vertical="center" wrapText="1"/>
      <protection hidden="1"/>
    </xf>
    <xf numFmtId="0" fontId="155" fillId="0" borderId="11" xfId="0" applyFont="1" applyBorder="1" applyAlignment="1" applyProtection="1">
      <alignment/>
      <protection hidden="1"/>
    </xf>
    <xf numFmtId="0" fontId="155" fillId="0" borderId="0" xfId="0" applyFont="1" applyFill="1" applyBorder="1" applyAlignment="1" applyProtection="1">
      <alignment horizontal="left" vertical="center" wrapText="1"/>
      <protection hidden="1"/>
    </xf>
    <xf numFmtId="0" fontId="155" fillId="0" borderId="11" xfId="0" applyFont="1" applyFill="1" applyBorder="1" applyAlignment="1" applyProtection="1">
      <alignment horizontal="left" vertical="center" wrapText="1"/>
      <protection hidden="1"/>
    </xf>
    <xf numFmtId="0" fontId="155" fillId="0" borderId="10" xfId="0" applyFont="1" applyFill="1" applyBorder="1" applyAlignment="1" applyProtection="1" quotePrefix="1">
      <alignment vertical="center"/>
      <protection hidden="1"/>
    </xf>
    <xf numFmtId="0" fontId="87" fillId="0" borderId="11" xfId="0" applyFont="1" applyFill="1" applyBorder="1" applyAlignment="1" applyProtection="1">
      <alignment vertical="center"/>
      <protection hidden="1"/>
    </xf>
    <xf numFmtId="0" fontId="155" fillId="0" borderId="10" xfId="0" applyFont="1" applyBorder="1" applyAlignment="1" applyProtection="1">
      <alignment vertical="center"/>
      <protection hidden="1"/>
    </xf>
    <xf numFmtId="0" fontId="155" fillId="0" borderId="0" xfId="0" applyFont="1" applyBorder="1" applyAlignment="1" applyProtection="1">
      <alignment vertical="center"/>
      <protection hidden="1"/>
    </xf>
    <xf numFmtId="0" fontId="155" fillId="0" borderId="11" xfId="0" applyFont="1" applyBorder="1" applyAlignment="1" applyProtection="1">
      <alignment vertical="center"/>
      <protection hidden="1"/>
    </xf>
    <xf numFmtId="0" fontId="155" fillId="0" borderId="10" xfId="0" applyFont="1" applyBorder="1" applyAlignment="1" applyProtection="1">
      <alignment/>
      <protection hidden="1"/>
    </xf>
    <xf numFmtId="0" fontId="155" fillId="0" borderId="13" xfId="0" applyFont="1" applyBorder="1" applyAlignment="1" applyProtection="1">
      <alignment/>
      <protection hidden="1"/>
    </xf>
    <xf numFmtId="0" fontId="155" fillId="0" borderId="14" xfId="0" applyFont="1" applyBorder="1" applyAlignment="1" applyProtection="1">
      <alignment/>
      <protection hidden="1"/>
    </xf>
    <xf numFmtId="0" fontId="155" fillId="0" borderId="15" xfId="0" applyFont="1" applyBorder="1" applyAlignment="1" applyProtection="1">
      <alignment/>
      <protection hidden="1"/>
    </xf>
    <xf numFmtId="0" fontId="151" fillId="0" borderId="0" xfId="0" applyFont="1" applyAlignment="1" applyProtection="1">
      <alignment horizontal="center" vertical="center"/>
      <protection hidden="1"/>
    </xf>
    <xf numFmtId="0" fontId="151" fillId="0" borderId="23" xfId="0" applyFont="1" applyBorder="1" applyAlignment="1" applyProtection="1">
      <alignment horizontal="center" vertical="center"/>
      <protection hidden="1"/>
    </xf>
    <xf numFmtId="0" fontId="151" fillId="0" borderId="10" xfId="0" applyFont="1" applyBorder="1" applyAlignment="1" applyProtection="1">
      <alignment horizontal="center" vertical="center"/>
      <protection hidden="1"/>
    </xf>
    <xf numFmtId="0" fontId="151" fillId="0" borderId="11" xfId="0" applyFont="1" applyBorder="1" applyAlignment="1" applyProtection="1">
      <alignment horizontal="center" vertical="center"/>
      <protection hidden="1"/>
    </xf>
    <xf numFmtId="0" fontId="88" fillId="0" borderId="0" xfId="0" applyFont="1" applyBorder="1" applyAlignment="1" applyProtection="1">
      <alignment horizontal="center" vertical="center"/>
      <protection hidden="1"/>
    </xf>
    <xf numFmtId="0" fontId="151" fillId="0" borderId="64" xfId="0" applyFont="1" applyBorder="1" applyAlignment="1" applyProtection="1">
      <alignment/>
      <protection hidden="1"/>
    </xf>
    <xf numFmtId="0" fontId="151" fillId="0" borderId="0" xfId="0" applyFont="1" applyAlignment="1" applyProtection="1">
      <alignment/>
      <protection hidden="1"/>
    </xf>
    <xf numFmtId="0" fontId="153" fillId="0" borderId="10" xfId="0" applyFont="1" applyBorder="1" applyAlignment="1" applyProtection="1">
      <alignment/>
      <protection hidden="1"/>
    </xf>
    <xf numFmtId="0" fontId="78" fillId="0" borderId="0" xfId="0" applyFont="1" applyBorder="1" applyAlignment="1" applyProtection="1">
      <alignment/>
      <protection hidden="1"/>
    </xf>
    <xf numFmtId="0" fontId="151" fillId="0" borderId="41" xfId="0" applyFont="1" applyBorder="1" applyAlignment="1" applyProtection="1">
      <alignment/>
      <protection hidden="1"/>
    </xf>
    <xf numFmtId="0" fontId="151" fillId="0" borderId="12" xfId="0" applyFont="1" applyBorder="1" applyAlignment="1" applyProtection="1">
      <alignment/>
      <protection hidden="1"/>
    </xf>
    <xf numFmtId="0" fontId="151" fillId="0" borderId="65" xfId="0" applyFont="1" applyBorder="1" applyAlignment="1" applyProtection="1">
      <alignment/>
      <protection hidden="1"/>
    </xf>
    <xf numFmtId="0" fontId="151" fillId="0" borderId="49" xfId="0" applyFont="1" applyBorder="1" applyAlignment="1" applyProtection="1">
      <alignment/>
      <protection hidden="1"/>
    </xf>
    <xf numFmtId="0" fontId="80" fillId="0" borderId="0" xfId="0" applyFont="1" applyBorder="1" applyAlignment="1" applyProtection="1">
      <alignment/>
      <protection hidden="1"/>
    </xf>
    <xf numFmtId="0" fontId="151" fillId="0" borderId="43" xfId="0" applyFont="1" applyBorder="1" applyAlignment="1" applyProtection="1">
      <alignment/>
      <protection hidden="1"/>
    </xf>
    <xf numFmtId="0" fontId="151" fillId="0" borderId="44" xfId="0" applyFont="1" applyBorder="1" applyAlignment="1" applyProtection="1">
      <alignment/>
      <protection hidden="1"/>
    </xf>
    <xf numFmtId="0" fontId="151" fillId="0" borderId="44" xfId="0" applyFont="1" applyBorder="1" applyAlignment="1" applyProtection="1">
      <alignment horizontal="center"/>
      <protection hidden="1"/>
    </xf>
    <xf numFmtId="0" fontId="151" fillId="0" borderId="53" xfId="0" applyFont="1" applyBorder="1" applyAlignment="1" applyProtection="1">
      <alignment horizontal="center"/>
      <protection hidden="1"/>
    </xf>
    <xf numFmtId="0" fontId="89" fillId="0" borderId="0" xfId="0" applyFont="1" applyBorder="1" applyAlignment="1" applyProtection="1">
      <alignment/>
      <protection hidden="1"/>
    </xf>
    <xf numFmtId="0" fontId="89" fillId="0" borderId="0" xfId="0" applyFont="1" applyBorder="1" applyAlignment="1" applyProtection="1">
      <alignment vertical="center"/>
      <protection hidden="1"/>
    </xf>
    <xf numFmtId="0" fontId="89" fillId="0" borderId="11" xfId="0" applyFont="1" applyBorder="1" applyAlignment="1" applyProtection="1">
      <alignment vertical="center"/>
      <protection hidden="1"/>
    </xf>
    <xf numFmtId="0" fontId="70" fillId="0" borderId="0" xfId="0" applyFont="1" applyBorder="1" applyAlignment="1" applyProtection="1">
      <alignment/>
      <protection hidden="1"/>
    </xf>
    <xf numFmtId="0" fontId="77" fillId="0" borderId="20" xfId="0" applyFont="1" applyBorder="1" applyAlignment="1" applyProtection="1">
      <alignment horizontal="center" vertical="center"/>
      <protection hidden="1"/>
    </xf>
    <xf numFmtId="0" fontId="77" fillId="0" borderId="10" xfId="0" applyFont="1" applyBorder="1" applyAlignment="1" applyProtection="1">
      <alignment horizontal="center" vertical="center"/>
      <protection hidden="1"/>
    </xf>
    <xf numFmtId="0" fontId="77" fillId="0" borderId="38" xfId="0" applyFont="1" applyBorder="1" applyAlignment="1" applyProtection="1">
      <alignment horizontal="center" vertical="center"/>
      <protection hidden="1"/>
    </xf>
    <xf numFmtId="0" fontId="77" fillId="0" borderId="11" xfId="0" applyFont="1" applyBorder="1" applyAlignment="1" applyProtection="1">
      <alignment horizontal="center" vertical="center"/>
      <protection hidden="1"/>
    </xf>
    <xf numFmtId="0" fontId="77" fillId="0" borderId="0" xfId="0" applyFont="1" applyAlignment="1" applyProtection="1">
      <alignment horizontal="center" vertical="center"/>
      <protection hidden="1"/>
    </xf>
    <xf numFmtId="0" fontId="90" fillId="0" borderId="0" xfId="0" applyFont="1" applyBorder="1" applyAlignment="1" applyProtection="1">
      <alignment horizontal="left" vertical="center"/>
      <protection hidden="1"/>
    </xf>
    <xf numFmtId="0" fontId="90" fillId="0" borderId="0" xfId="0" applyFont="1" applyBorder="1" applyAlignment="1" applyProtection="1">
      <alignment vertical="center"/>
      <protection hidden="1"/>
    </xf>
    <xf numFmtId="0" fontId="78" fillId="0" borderId="0" xfId="0" applyFont="1" applyBorder="1" applyAlignment="1" applyProtection="1">
      <alignment/>
      <protection hidden="1"/>
    </xf>
    <xf numFmtId="0" fontId="78" fillId="0" borderId="11" xfId="0" applyFont="1" applyBorder="1" applyAlignment="1" applyProtection="1">
      <alignment/>
      <protection hidden="1"/>
    </xf>
    <xf numFmtId="0" fontId="70" fillId="0" borderId="66" xfId="0" applyFont="1" applyBorder="1" applyAlignment="1" applyProtection="1">
      <alignment/>
      <protection hidden="1"/>
    </xf>
    <xf numFmtId="0" fontId="152" fillId="0" borderId="10" xfId="0" applyFont="1" applyBorder="1" applyAlignment="1" applyProtection="1">
      <alignment vertical="center"/>
      <protection hidden="1"/>
    </xf>
    <xf numFmtId="0" fontId="151" fillId="0" borderId="0" xfId="0" applyFont="1" applyBorder="1" applyAlignment="1" applyProtection="1">
      <alignment horizontal="left" vertical="center"/>
      <protection hidden="1"/>
    </xf>
    <xf numFmtId="0" fontId="78" fillId="0" borderId="0" xfId="0" applyFont="1" applyBorder="1" applyAlignment="1" applyProtection="1">
      <alignment horizontal="left" vertical="center"/>
      <protection hidden="1"/>
    </xf>
    <xf numFmtId="0" fontId="78" fillId="0" borderId="0" xfId="0" applyFont="1" applyBorder="1" applyAlignment="1" applyProtection="1">
      <alignment horizontal="left"/>
      <protection hidden="1"/>
    </xf>
    <xf numFmtId="0" fontId="91" fillId="0" borderId="0" xfId="0" applyFont="1" applyBorder="1" applyAlignment="1" applyProtection="1">
      <alignment/>
      <protection hidden="1"/>
    </xf>
    <xf numFmtId="0" fontId="151" fillId="0" borderId="44" xfId="0" applyFont="1" applyBorder="1" applyAlignment="1" applyProtection="1">
      <alignment/>
      <protection hidden="1"/>
    </xf>
    <xf numFmtId="0" fontId="151" fillId="0" borderId="0" xfId="0" applyFont="1" applyBorder="1" applyAlignment="1" applyProtection="1">
      <alignment/>
      <protection hidden="1"/>
    </xf>
    <xf numFmtId="0" fontId="151" fillId="0" borderId="0" xfId="0" applyFont="1" applyBorder="1" applyAlignment="1" applyProtection="1">
      <alignment horizontal="center"/>
      <protection hidden="1"/>
    </xf>
    <xf numFmtId="0" fontId="92" fillId="0" borderId="0" xfId="0" applyFont="1" applyBorder="1" applyAlignment="1" applyProtection="1">
      <alignment/>
      <protection hidden="1"/>
    </xf>
    <xf numFmtId="0" fontId="144" fillId="0" borderId="34" xfId="0" applyFont="1" applyFill="1" applyBorder="1" applyAlignment="1" applyProtection="1">
      <alignment horizontal="center" vertical="center"/>
      <protection hidden="1" locked="0"/>
    </xf>
    <xf numFmtId="0" fontId="143" fillId="13" borderId="0" xfId="0" applyFont="1" applyFill="1" applyBorder="1" applyAlignment="1" applyProtection="1">
      <alignment vertical="center" wrapText="1"/>
      <protection hidden="1"/>
    </xf>
    <xf numFmtId="0" fontId="143" fillId="34" borderId="67" xfId="0" applyFont="1" applyFill="1" applyBorder="1" applyAlignment="1" applyProtection="1">
      <alignment horizontal="left" vertical="center"/>
      <protection hidden="1" locked="0"/>
    </xf>
    <xf numFmtId="0" fontId="2" fillId="16" borderId="0" xfId="59" applyFont="1" applyFill="1" applyProtection="1">
      <alignment/>
      <protection hidden="1"/>
    </xf>
    <xf numFmtId="0" fontId="141" fillId="16" borderId="0" xfId="0" applyFont="1" applyFill="1" applyAlignment="1" applyProtection="1">
      <alignment/>
      <protection hidden="1"/>
    </xf>
    <xf numFmtId="0" fontId="17" fillId="16" borderId="0" xfId="59" applyFont="1" applyFill="1" applyProtection="1">
      <alignment/>
      <protection hidden="1"/>
    </xf>
    <xf numFmtId="0" fontId="17" fillId="16" borderId="0" xfId="59" applyFont="1" applyFill="1">
      <alignment/>
      <protection/>
    </xf>
    <xf numFmtId="0" fontId="0" fillId="16" borderId="0" xfId="0" applyFill="1" applyAlignment="1">
      <alignment/>
    </xf>
    <xf numFmtId="0" fontId="15" fillId="16" borderId="0" xfId="59" applyFont="1" applyFill="1" applyAlignment="1">
      <alignment horizontal="center"/>
      <protection/>
    </xf>
    <xf numFmtId="0" fontId="141" fillId="16" borderId="0" xfId="0" applyFont="1" applyFill="1" applyAlignment="1">
      <alignment/>
    </xf>
    <xf numFmtId="0" fontId="0" fillId="16" borderId="0" xfId="0" applyFill="1" applyAlignment="1" applyProtection="1">
      <alignment/>
      <protection hidden="1"/>
    </xf>
    <xf numFmtId="0" fontId="147" fillId="16" borderId="0" xfId="0" applyFont="1" applyFill="1" applyAlignment="1" applyProtection="1">
      <alignment vertical="center"/>
      <protection hidden="1"/>
    </xf>
    <xf numFmtId="0" fontId="147" fillId="16" borderId="0" xfId="0" applyFont="1" applyFill="1" applyAlignment="1" applyProtection="1">
      <alignment horizontal="center"/>
      <protection hidden="1"/>
    </xf>
    <xf numFmtId="0" fontId="0" fillId="16" borderId="0" xfId="0" applyFill="1" applyAlignment="1" applyProtection="1">
      <alignment/>
      <protection hidden="1" locked="0"/>
    </xf>
    <xf numFmtId="0" fontId="0" fillId="16" borderId="0" xfId="0" applyFill="1" applyAlignment="1" applyProtection="1">
      <alignment vertical="center"/>
      <protection hidden="1"/>
    </xf>
    <xf numFmtId="0" fontId="4" fillId="16" borderId="0" xfId="0" applyFont="1" applyFill="1" applyAlignment="1" applyProtection="1">
      <alignment vertical="top" wrapText="1"/>
      <protection hidden="1" locked="0"/>
    </xf>
    <xf numFmtId="0" fontId="0" fillId="16" borderId="0" xfId="0" applyFill="1" applyAlignment="1" applyProtection="1">
      <alignment/>
      <protection/>
    </xf>
    <xf numFmtId="0" fontId="156" fillId="16" borderId="0" xfId="0" applyFont="1" applyFill="1" applyAlignment="1" applyProtection="1">
      <alignment/>
      <protection hidden="1"/>
    </xf>
    <xf numFmtId="0" fontId="3" fillId="16" borderId="0" xfId="0" applyFont="1" applyFill="1" applyAlignment="1">
      <alignment/>
    </xf>
    <xf numFmtId="17" fontId="0" fillId="16" borderId="0" xfId="0" applyNumberFormat="1" applyFill="1" applyAlignment="1">
      <alignment/>
    </xf>
    <xf numFmtId="0" fontId="0" fillId="16" borderId="0" xfId="0" applyNumberFormat="1" applyFill="1" applyAlignment="1">
      <alignment/>
    </xf>
    <xf numFmtId="0" fontId="0" fillId="16" borderId="0" xfId="0" applyFill="1" applyBorder="1" applyAlignment="1">
      <alignment/>
    </xf>
    <xf numFmtId="0" fontId="141" fillId="16" borderId="0" xfId="0" applyFont="1" applyFill="1" applyAlignment="1" applyProtection="1">
      <alignment horizontal="center" vertical="center"/>
      <protection hidden="1"/>
    </xf>
    <xf numFmtId="0" fontId="141" fillId="16" borderId="0" xfId="0" applyFont="1" applyFill="1" applyAlignment="1" applyProtection="1">
      <alignment vertical="center"/>
      <protection hidden="1"/>
    </xf>
    <xf numFmtId="0" fontId="141" fillId="16" borderId="0" xfId="0" applyFont="1" applyFill="1" applyAlignment="1">
      <alignment vertical="center"/>
    </xf>
    <xf numFmtId="0" fontId="0" fillId="16" borderId="0" xfId="0" applyFill="1" applyAlignment="1">
      <alignment vertical="center"/>
    </xf>
    <xf numFmtId="49" fontId="4" fillId="0" borderId="0" xfId="59" applyNumberFormat="1" applyFont="1" applyBorder="1" applyAlignment="1" applyProtection="1">
      <alignment horizontal="center" vertical="center"/>
      <protection hidden="1"/>
    </xf>
    <xf numFmtId="49" fontId="4" fillId="0" borderId="0" xfId="59" applyNumberFormat="1" applyFont="1" applyBorder="1" applyAlignment="1" applyProtection="1">
      <alignment horizontal="left"/>
      <protection hidden="1"/>
    </xf>
    <xf numFmtId="0" fontId="13" fillId="0" borderId="0" xfId="59" applyFont="1" applyAlignment="1" applyProtection="1">
      <alignment horizontal="left" vertical="center"/>
      <protection hidden="1"/>
    </xf>
    <xf numFmtId="0" fontId="0" fillId="16" borderId="0" xfId="0" applyFill="1" applyAlignment="1" applyProtection="1">
      <alignment/>
      <protection locked="0"/>
    </xf>
    <xf numFmtId="0" fontId="6" fillId="0" borderId="0" xfId="61" applyFont="1" applyBorder="1" applyAlignment="1" applyProtection="1">
      <alignment horizontal="left" vertical="center"/>
      <protection hidden="1"/>
    </xf>
    <xf numFmtId="186" fontId="4" fillId="0" borderId="0" xfId="61" applyNumberFormat="1" applyFont="1" applyBorder="1" applyAlignment="1" applyProtection="1">
      <alignment horizontal="left" vertical="center"/>
      <protection hidden="1"/>
    </xf>
    <xf numFmtId="0" fontId="141" fillId="10" borderId="0" xfId="0" applyFont="1" applyFill="1" applyAlignment="1">
      <alignment/>
    </xf>
    <xf numFmtId="0" fontId="141" fillId="10" borderId="0" xfId="0" applyFont="1" applyFill="1" applyAlignment="1">
      <alignment horizontal="left" vertical="center"/>
    </xf>
    <xf numFmtId="0" fontId="141" fillId="10" borderId="0" xfId="0" applyFont="1" applyFill="1" applyAlignment="1" applyProtection="1">
      <alignment/>
      <protection locked="0"/>
    </xf>
    <xf numFmtId="0" fontId="141" fillId="10" borderId="0" xfId="0" applyFont="1" applyFill="1" applyAlignment="1">
      <alignment vertical="center" wrapText="1"/>
    </xf>
    <xf numFmtId="0" fontId="141" fillId="10" borderId="0" xfId="0" applyFont="1" applyFill="1" applyAlignment="1">
      <alignment horizontal="left" vertical="center" wrapText="1"/>
    </xf>
    <xf numFmtId="0" fontId="141" fillId="10" borderId="0" xfId="0" applyFont="1" applyFill="1" applyAlignment="1" applyProtection="1">
      <alignment wrapText="1"/>
      <protection hidden="1"/>
    </xf>
    <xf numFmtId="0" fontId="142" fillId="10" borderId="0" xfId="0" applyFont="1" applyFill="1" applyAlignment="1" applyProtection="1">
      <alignment wrapText="1"/>
      <protection hidden="1"/>
    </xf>
    <xf numFmtId="0" fontId="141" fillId="10" borderId="0" xfId="0" applyFont="1" applyFill="1" applyAlignment="1" applyProtection="1">
      <alignment/>
      <protection hidden="1"/>
    </xf>
    <xf numFmtId="0" fontId="0" fillId="10" borderId="0" xfId="0" applyFill="1" applyAlignment="1">
      <alignment/>
    </xf>
    <xf numFmtId="0" fontId="0" fillId="10" borderId="0" xfId="0" applyFill="1" applyAlignment="1" applyProtection="1">
      <alignment/>
      <protection hidden="1"/>
    </xf>
    <xf numFmtId="0" fontId="151" fillId="10" borderId="0" xfId="0" applyFont="1" applyFill="1" applyAlignment="1" applyProtection="1">
      <alignment/>
      <protection hidden="1"/>
    </xf>
    <xf numFmtId="0" fontId="0" fillId="0" borderId="10" xfId="0" applyFill="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11" xfId="0" applyFill="1" applyBorder="1" applyAlignment="1" applyProtection="1">
      <alignment vertical="center"/>
      <protection hidden="1"/>
    </xf>
    <xf numFmtId="0" fontId="143" fillId="0" borderId="63" xfId="0" applyFont="1" applyFill="1" applyBorder="1" applyAlignment="1" applyProtection="1">
      <alignment vertical="center"/>
      <protection hidden="1"/>
    </xf>
    <xf numFmtId="0" fontId="139" fillId="0" borderId="68" xfId="0" applyFont="1" applyBorder="1" applyAlignment="1" applyProtection="1">
      <alignment horizontal="center" vertical="center"/>
      <protection locked="0"/>
    </xf>
    <xf numFmtId="0" fontId="144" fillId="10" borderId="0" xfId="0" applyFont="1" applyFill="1" applyAlignment="1">
      <alignment/>
    </xf>
    <xf numFmtId="0" fontId="144" fillId="10" borderId="0" xfId="0" applyFont="1" applyFill="1" applyAlignment="1">
      <alignment horizontal="left" vertical="center"/>
    </xf>
    <xf numFmtId="0" fontId="157" fillId="10" borderId="69" xfId="0" applyFont="1" applyFill="1" applyBorder="1" applyAlignment="1">
      <alignment vertical="center"/>
    </xf>
    <xf numFmtId="0" fontId="157" fillId="10" borderId="0" xfId="0" applyFont="1" applyFill="1" applyBorder="1" applyAlignment="1">
      <alignment vertical="center"/>
    </xf>
    <xf numFmtId="0" fontId="157" fillId="10" borderId="69" xfId="0" applyFont="1" applyFill="1" applyBorder="1" applyAlignment="1" applyProtection="1">
      <alignment vertical="center"/>
      <protection locked="0"/>
    </xf>
    <xf numFmtId="0" fontId="157" fillId="10" borderId="0" xfId="0" applyFont="1" applyFill="1" applyBorder="1" applyAlignment="1" applyProtection="1">
      <alignment vertical="center"/>
      <protection locked="0"/>
    </xf>
    <xf numFmtId="0" fontId="0" fillId="10" borderId="0" xfId="0" applyFill="1" applyAlignment="1" applyProtection="1">
      <alignment/>
      <protection locked="0"/>
    </xf>
    <xf numFmtId="0" fontId="0" fillId="10" borderId="0" xfId="0" applyFill="1" applyAlignment="1">
      <alignment/>
    </xf>
    <xf numFmtId="0" fontId="0" fillId="10" borderId="23" xfId="0" applyFill="1" applyBorder="1" applyAlignment="1">
      <alignment/>
    </xf>
    <xf numFmtId="0" fontId="0" fillId="10" borderId="24" xfId="0" applyFill="1" applyBorder="1" applyAlignment="1">
      <alignment/>
    </xf>
    <xf numFmtId="0" fontId="0" fillId="10" borderId="25" xfId="0" applyFill="1" applyBorder="1" applyAlignment="1">
      <alignment/>
    </xf>
    <xf numFmtId="0" fontId="0" fillId="10" borderId="10" xfId="0" applyFill="1" applyBorder="1" applyAlignment="1">
      <alignment/>
    </xf>
    <xf numFmtId="0" fontId="0" fillId="10" borderId="0" xfId="0" applyFill="1" applyBorder="1" applyAlignment="1">
      <alignment/>
    </xf>
    <xf numFmtId="0" fontId="0" fillId="10" borderId="11" xfId="0" applyFill="1" applyBorder="1" applyAlignment="1">
      <alignment/>
    </xf>
    <xf numFmtId="14" fontId="0" fillId="10" borderId="0" xfId="0" applyNumberFormat="1" applyFill="1" applyAlignment="1">
      <alignment/>
    </xf>
    <xf numFmtId="0" fontId="0" fillId="10" borderId="0" xfId="0" applyFill="1" applyAlignment="1">
      <alignment horizontal="center"/>
    </xf>
    <xf numFmtId="14" fontId="0" fillId="10" borderId="0" xfId="0" applyNumberFormat="1" applyFill="1" applyBorder="1" applyAlignment="1">
      <alignment/>
    </xf>
    <xf numFmtId="0" fontId="0" fillId="10" borderId="13" xfId="0" applyFill="1" applyBorder="1" applyAlignment="1">
      <alignment/>
    </xf>
    <xf numFmtId="0" fontId="0" fillId="10" borderId="14" xfId="0" applyFill="1" applyBorder="1" applyAlignment="1">
      <alignment/>
    </xf>
    <xf numFmtId="14" fontId="0" fillId="10" borderId="14" xfId="0" applyNumberFormat="1" applyFill="1" applyBorder="1" applyAlignment="1">
      <alignment/>
    </xf>
    <xf numFmtId="14" fontId="158" fillId="10" borderId="14" xfId="0" applyNumberFormat="1" applyFont="1" applyFill="1" applyBorder="1" applyAlignment="1">
      <alignment/>
    </xf>
    <xf numFmtId="0" fontId="0" fillId="10" borderId="15" xfId="0" applyFill="1" applyBorder="1" applyAlignment="1">
      <alignment/>
    </xf>
    <xf numFmtId="0" fontId="0" fillId="10" borderId="70" xfId="0" applyFill="1" applyBorder="1" applyAlignment="1">
      <alignment/>
    </xf>
    <xf numFmtId="0" fontId="0" fillId="10" borderId="71" xfId="0" applyFill="1" applyBorder="1" applyAlignment="1" applyProtection="1">
      <alignment/>
      <protection locked="0"/>
    </xf>
    <xf numFmtId="0" fontId="0" fillId="10" borderId="71" xfId="0" applyFill="1" applyBorder="1" applyAlignment="1">
      <alignment/>
    </xf>
    <xf numFmtId="0" fontId="0" fillId="10" borderId="72" xfId="0" applyFill="1" applyBorder="1" applyAlignment="1">
      <alignment/>
    </xf>
    <xf numFmtId="0" fontId="0" fillId="10" borderId="73" xfId="0" applyFill="1" applyBorder="1" applyAlignment="1">
      <alignment/>
    </xf>
    <xf numFmtId="0" fontId="0" fillId="10" borderId="74" xfId="0" applyFill="1" applyBorder="1" applyAlignment="1">
      <alignment/>
    </xf>
    <xf numFmtId="178" fontId="0" fillId="10" borderId="0" xfId="0" applyNumberFormat="1" applyFill="1" applyAlignment="1">
      <alignment/>
    </xf>
    <xf numFmtId="0" fontId="0" fillId="10" borderId="75" xfId="0" applyFill="1" applyBorder="1" applyAlignment="1">
      <alignment/>
    </xf>
    <xf numFmtId="0" fontId="0" fillId="10" borderId="76" xfId="0" applyFill="1" applyBorder="1" applyAlignment="1">
      <alignment/>
    </xf>
    <xf numFmtId="0" fontId="0" fillId="10" borderId="77" xfId="0" applyFill="1" applyBorder="1" applyAlignment="1">
      <alignment/>
    </xf>
    <xf numFmtId="0" fontId="0" fillId="10" borderId="0" xfId="0" applyNumberFormat="1" applyFill="1" applyAlignment="1">
      <alignment/>
    </xf>
    <xf numFmtId="0" fontId="0" fillId="10" borderId="78" xfId="0" applyFill="1" applyBorder="1" applyAlignment="1">
      <alignment/>
    </xf>
    <xf numFmtId="0" fontId="0" fillId="10" borderId="79" xfId="0" applyFill="1" applyBorder="1" applyAlignment="1">
      <alignment/>
    </xf>
    <xf numFmtId="0" fontId="0" fillId="10" borderId="80" xfId="0" applyFill="1" applyBorder="1" applyAlignment="1">
      <alignment/>
    </xf>
    <xf numFmtId="14" fontId="148" fillId="10" borderId="23" xfId="0" applyNumberFormat="1" applyFont="1" applyFill="1" applyBorder="1" applyAlignment="1">
      <alignment/>
    </xf>
    <xf numFmtId="0" fontId="139" fillId="10" borderId="24" xfId="0" applyFont="1" applyFill="1" applyBorder="1" applyAlignment="1">
      <alignment/>
    </xf>
    <xf numFmtId="178" fontId="0" fillId="10" borderId="81" xfId="0" applyNumberFormat="1" applyFill="1" applyBorder="1" applyAlignment="1">
      <alignment/>
    </xf>
    <xf numFmtId="0" fontId="0" fillId="10" borderId="82" xfId="0" applyFill="1" applyBorder="1" applyAlignment="1">
      <alignment/>
    </xf>
    <xf numFmtId="0" fontId="0" fillId="10" borderId="83" xfId="0" applyFill="1" applyBorder="1" applyAlignment="1">
      <alignment/>
    </xf>
    <xf numFmtId="178" fontId="139" fillId="10" borderId="14" xfId="0" applyNumberFormat="1" applyFont="1" applyFill="1" applyBorder="1" applyAlignment="1">
      <alignment/>
    </xf>
    <xf numFmtId="0" fontId="139" fillId="10" borderId="14" xfId="0" applyFont="1" applyFill="1" applyBorder="1" applyAlignment="1">
      <alignment/>
    </xf>
    <xf numFmtId="0" fontId="2" fillId="10" borderId="20" xfId="0" applyFont="1" applyFill="1" applyBorder="1" applyAlignment="1">
      <alignment/>
    </xf>
    <xf numFmtId="0" fontId="4" fillId="10" borderId="0" xfId="0" applyFont="1" applyFill="1" applyBorder="1" applyAlignment="1">
      <alignment/>
    </xf>
    <xf numFmtId="0" fontId="0" fillId="10" borderId="0" xfId="0" applyFill="1" applyBorder="1" applyAlignment="1" applyProtection="1">
      <alignment/>
      <protection locked="0"/>
    </xf>
    <xf numFmtId="0" fontId="0" fillId="10" borderId="84" xfId="0" applyFill="1" applyBorder="1" applyAlignment="1">
      <alignment/>
    </xf>
    <xf numFmtId="0" fontId="0" fillId="10" borderId="85" xfId="0" applyFill="1" applyBorder="1" applyAlignment="1">
      <alignment/>
    </xf>
    <xf numFmtId="0" fontId="0" fillId="10" borderId="0" xfId="0" applyFill="1" applyAlignment="1">
      <alignment horizontal="right"/>
    </xf>
    <xf numFmtId="0" fontId="0" fillId="10" borderId="0" xfId="0" applyFill="1" applyAlignment="1" applyProtection="1">
      <alignment horizontal="left"/>
      <protection hidden="1"/>
    </xf>
    <xf numFmtId="0" fontId="0" fillId="10" borderId="20" xfId="0" applyFill="1" applyBorder="1" applyAlignment="1" applyProtection="1">
      <alignment/>
      <protection hidden="1"/>
    </xf>
    <xf numFmtId="0" fontId="0" fillId="10" borderId="20" xfId="0" applyFill="1" applyBorder="1" applyAlignment="1">
      <alignment/>
    </xf>
    <xf numFmtId="0" fontId="0" fillId="10" borderId="24" xfId="0" applyFill="1" applyBorder="1" applyAlignment="1" applyProtection="1">
      <alignment/>
      <protection hidden="1"/>
    </xf>
    <xf numFmtId="0" fontId="0" fillId="10" borderId="25" xfId="0" applyFill="1" applyBorder="1" applyAlignment="1" applyProtection="1">
      <alignment/>
      <protection hidden="1"/>
    </xf>
    <xf numFmtId="0" fontId="0" fillId="10" borderId="0" xfId="0" applyFill="1" applyBorder="1" applyAlignment="1" applyProtection="1">
      <alignment/>
      <protection hidden="1"/>
    </xf>
    <xf numFmtId="0" fontId="0" fillId="10" borderId="11" xfId="0" applyFill="1" applyBorder="1" applyAlignment="1" applyProtection="1">
      <alignment/>
      <protection hidden="1"/>
    </xf>
    <xf numFmtId="0" fontId="4" fillId="10" borderId="0" xfId="0" applyNumberFormat="1" applyFont="1" applyFill="1" applyBorder="1" applyAlignment="1">
      <alignment horizontal="left" vertical="center"/>
    </xf>
    <xf numFmtId="0" fontId="4" fillId="10" borderId="11" xfId="0" applyNumberFormat="1" applyFont="1" applyFill="1" applyBorder="1" applyAlignment="1">
      <alignment horizontal="left" vertical="center"/>
    </xf>
    <xf numFmtId="0" fontId="31" fillId="10" borderId="0" xfId="46" applyFont="1" applyFill="1">
      <alignment/>
      <protection/>
    </xf>
    <xf numFmtId="0" fontId="31" fillId="10" borderId="20" xfId="46" applyFont="1" applyFill="1" applyBorder="1" applyAlignment="1">
      <alignment horizontal="center" vertical="center"/>
      <protection/>
    </xf>
    <xf numFmtId="0" fontId="31" fillId="10" borderId="20" xfId="46" applyFont="1" applyFill="1" applyBorder="1" applyAlignment="1">
      <alignment horizontal="center"/>
      <protection/>
    </xf>
    <xf numFmtId="0" fontId="0" fillId="10" borderId="14" xfId="0" applyFill="1" applyBorder="1" applyAlignment="1" applyProtection="1">
      <alignment/>
      <protection hidden="1"/>
    </xf>
    <xf numFmtId="0" fontId="0" fillId="10" borderId="15" xfId="0" applyFill="1" applyBorder="1" applyAlignment="1" applyProtection="1">
      <alignment/>
      <protection hidden="1"/>
    </xf>
    <xf numFmtId="0" fontId="11" fillId="35" borderId="20" xfId="46" applyFont="1" applyFill="1" applyBorder="1" applyAlignment="1" applyProtection="1">
      <alignment horizontal="center" wrapText="1"/>
      <protection hidden="1"/>
    </xf>
    <xf numFmtId="0" fontId="11" fillId="35" borderId="86" xfId="46" applyFont="1" applyFill="1" applyBorder="1" applyAlignment="1" applyProtection="1">
      <alignment horizontal="center" wrapText="1"/>
      <protection hidden="1"/>
    </xf>
    <xf numFmtId="0" fontId="11" fillId="35" borderId="87" xfId="46" applyFont="1" applyFill="1" applyBorder="1" applyAlignment="1" applyProtection="1">
      <alignment horizontal="center" wrapText="1"/>
      <protection hidden="1"/>
    </xf>
    <xf numFmtId="0" fontId="11" fillId="35" borderId="88" xfId="46" applyFont="1" applyFill="1" applyBorder="1" applyAlignment="1" applyProtection="1">
      <alignment horizontal="center" wrapText="1"/>
      <protection hidden="1"/>
    </xf>
    <xf numFmtId="0" fontId="31" fillId="10" borderId="88" xfId="46" applyFont="1" applyFill="1" applyBorder="1" applyAlignment="1">
      <alignment horizontal="center"/>
      <protection/>
    </xf>
    <xf numFmtId="0" fontId="4" fillId="10" borderId="87" xfId="46" applyFont="1" applyFill="1" applyBorder="1" applyAlignment="1">
      <alignment horizontal="center" vertical="center"/>
      <protection/>
    </xf>
    <xf numFmtId="0" fontId="10" fillId="10" borderId="87" xfId="46" applyFont="1" applyFill="1" applyBorder="1" applyAlignment="1">
      <alignment horizontal="center" vertical="center"/>
      <protection/>
    </xf>
    <xf numFmtId="0" fontId="77" fillId="11" borderId="0" xfId="59" applyFont="1" applyFill="1" applyBorder="1" applyAlignment="1" applyProtection="1">
      <alignment vertical="center"/>
      <protection hidden="1"/>
    </xf>
    <xf numFmtId="0" fontId="77" fillId="13" borderId="0" xfId="59" applyFont="1" applyFill="1" applyBorder="1" applyAlignment="1" applyProtection="1">
      <alignment vertical="center"/>
      <protection hidden="1"/>
    </xf>
    <xf numFmtId="0" fontId="78" fillId="11" borderId="0" xfId="59" applyFont="1" applyFill="1" applyBorder="1" applyAlignment="1" applyProtection="1">
      <alignment vertical="center"/>
      <protection hidden="1" locked="0"/>
    </xf>
    <xf numFmtId="0" fontId="78" fillId="11" borderId="0" xfId="59" applyFont="1" applyFill="1" applyBorder="1" applyAlignment="1" applyProtection="1">
      <alignment horizontal="center" vertical="center"/>
      <protection hidden="1" locked="0"/>
    </xf>
    <xf numFmtId="0" fontId="70" fillId="11" borderId="0" xfId="59" applyFont="1" applyFill="1" applyBorder="1" applyAlignment="1" applyProtection="1">
      <alignment horizontal="center" vertical="center"/>
      <protection hidden="1" locked="0"/>
    </xf>
    <xf numFmtId="0" fontId="77" fillId="13" borderId="69" xfId="59" applyFont="1" applyFill="1" applyBorder="1" applyAlignment="1" applyProtection="1">
      <alignment vertical="center"/>
      <protection hidden="1"/>
    </xf>
    <xf numFmtId="0" fontId="77" fillId="11" borderId="69" xfId="59" applyFont="1" applyFill="1" applyBorder="1" applyAlignment="1" applyProtection="1">
      <alignment vertical="center"/>
      <protection hidden="1"/>
    </xf>
    <xf numFmtId="0" fontId="78" fillId="11" borderId="89" xfId="59" applyFont="1" applyFill="1" applyBorder="1" applyAlignment="1" applyProtection="1">
      <alignment vertical="center"/>
      <protection hidden="1" locked="0"/>
    </xf>
    <xf numFmtId="0" fontId="77" fillId="11" borderId="90" xfId="59" applyFont="1" applyFill="1" applyBorder="1" applyAlignment="1" applyProtection="1">
      <alignment vertical="center"/>
      <protection hidden="1"/>
    </xf>
    <xf numFmtId="0" fontId="77" fillId="11" borderId="91" xfId="59" applyFont="1" applyFill="1" applyBorder="1" applyAlignment="1" applyProtection="1">
      <alignment vertical="center"/>
      <protection hidden="1"/>
    </xf>
    <xf numFmtId="0" fontId="78" fillId="11" borderId="91" xfId="59" applyFont="1" applyFill="1" applyBorder="1" applyAlignment="1" applyProtection="1">
      <alignment vertical="center"/>
      <protection hidden="1"/>
    </xf>
    <xf numFmtId="0" fontId="78" fillId="11" borderId="92" xfId="59" applyFont="1" applyFill="1" applyBorder="1" applyAlignment="1" applyProtection="1">
      <alignment vertical="center"/>
      <protection hidden="1"/>
    </xf>
    <xf numFmtId="0" fontId="70" fillId="0" borderId="93" xfId="59" applyFont="1" applyFill="1" applyBorder="1" applyAlignment="1" applyProtection="1">
      <alignment horizontal="center" vertical="center"/>
      <protection hidden="1" locked="0"/>
    </xf>
    <xf numFmtId="0" fontId="70" fillId="0" borderId="43" xfId="59" applyFont="1" applyFill="1" applyBorder="1" applyAlignment="1" applyProtection="1">
      <alignment horizontal="center" vertical="center"/>
      <protection hidden="1" locked="0"/>
    </xf>
    <xf numFmtId="0" fontId="70" fillId="0" borderId="20" xfId="59" applyFont="1" applyFill="1" applyBorder="1" applyAlignment="1" applyProtection="1">
      <alignment horizontal="center" vertical="center"/>
      <protection hidden="1" locked="0"/>
    </xf>
    <xf numFmtId="0" fontId="90" fillId="0" borderId="94" xfId="59" applyFont="1" applyFill="1" applyBorder="1" applyAlignment="1" applyProtection="1">
      <alignment vertical="center"/>
      <protection hidden="1" locked="0"/>
    </xf>
    <xf numFmtId="0" fontId="78" fillId="0" borderId="95" xfId="59" applyFont="1" applyFill="1" applyBorder="1" applyAlignment="1" applyProtection="1">
      <alignment vertical="center"/>
      <protection hidden="1" locked="0"/>
    </xf>
    <xf numFmtId="0" fontId="78" fillId="0" borderId="96" xfId="59" applyFont="1" applyFill="1" applyBorder="1" applyAlignment="1" applyProtection="1">
      <alignment vertical="center"/>
      <protection hidden="1" locked="0"/>
    </xf>
    <xf numFmtId="0" fontId="159" fillId="10" borderId="0" xfId="0" applyFont="1" applyFill="1" applyAlignment="1">
      <alignment/>
    </xf>
    <xf numFmtId="0" fontId="0" fillId="10" borderId="97" xfId="0" applyFill="1" applyBorder="1" applyAlignment="1" applyProtection="1">
      <alignment/>
      <protection locked="0"/>
    </xf>
    <xf numFmtId="0" fontId="0" fillId="10" borderId="98" xfId="0" applyFill="1" applyBorder="1" applyAlignment="1" applyProtection="1">
      <alignment/>
      <protection locked="0"/>
    </xf>
    <xf numFmtId="0" fontId="0" fillId="10" borderId="30" xfId="0" applyFill="1" applyBorder="1" applyAlignment="1">
      <alignment/>
    </xf>
    <xf numFmtId="0" fontId="0" fillId="10" borderId="99" xfId="0" applyFill="1" applyBorder="1" applyAlignment="1">
      <alignment/>
    </xf>
    <xf numFmtId="0" fontId="0" fillId="10" borderId="97" xfId="0" applyFill="1" applyBorder="1" applyAlignment="1">
      <alignment/>
    </xf>
    <xf numFmtId="0" fontId="0" fillId="10" borderId="98" xfId="0" applyFill="1" applyBorder="1" applyAlignment="1">
      <alignment/>
    </xf>
    <xf numFmtId="0" fontId="0" fillId="10" borderId="30" xfId="0" applyFill="1" applyBorder="1" applyAlignment="1" applyProtection="1">
      <alignment/>
      <protection locked="0"/>
    </xf>
    <xf numFmtId="0" fontId="0" fillId="10" borderId="99" xfId="0" applyFill="1" applyBorder="1" applyAlignment="1" applyProtection="1">
      <alignment/>
      <protection locked="0"/>
    </xf>
    <xf numFmtId="0" fontId="160" fillId="10" borderId="0" xfId="0" applyFont="1" applyFill="1" applyAlignment="1">
      <alignment/>
    </xf>
    <xf numFmtId="0" fontId="0" fillId="10" borderId="10" xfId="0" applyFill="1" applyBorder="1" applyAlignment="1" applyProtection="1">
      <alignment/>
      <protection hidden="1"/>
    </xf>
    <xf numFmtId="0" fontId="70" fillId="10" borderId="0" xfId="0" applyNumberFormat="1" applyFont="1" applyFill="1" applyBorder="1" applyAlignment="1">
      <alignment horizontal="left" vertical="center"/>
    </xf>
    <xf numFmtId="0" fontId="4" fillId="10" borderId="10" xfId="0" applyNumberFormat="1" applyFont="1" applyFill="1" applyBorder="1" applyAlignment="1">
      <alignment horizontal="left" vertical="center"/>
    </xf>
    <xf numFmtId="0" fontId="22" fillId="10" borderId="0" xfId="0" applyFont="1" applyFill="1" applyBorder="1" applyAlignment="1">
      <alignment horizontal="left" vertical="center"/>
    </xf>
    <xf numFmtId="0" fontId="0" fillId="10" borderId="13" xfId="0" applyFill="1" applyBorder="1" applyAlignment="1" applyProtection="1">
      <alignment/>
      <protection hidden="1"/>
    </xf>
    <xf numFmtId="0" fontId="161" fillId="10" borderId="91" xfId="0" applyFont="1" applyFill="1" applyBorder="1" applyAlignment="1">
      <alignment vertical="center"/>
    </xf>
    <xf numFmtId="0" fontId="143" fillId="36" borderId="0" xfId="0" applyFont="1" applyFill="1" applyBorder="1" applyAlignment="1" applyProtection="1">
      <alignment vertical="center" wrapText="1"/>
      <protection hidden="1"/>
    </xf>
    <xf numFmtId="0" fontId="4" fillId="0" borderId="0" xfId="59" applyNumberFormat="1" applyFont="1" applyBorder="1" applyAlignment="1" applyProtection="1">
      <alignment horizontal="left" vertical="center" shrinkToFit="1"/>
      <protection hidden="1"/>
    </xf>
    <xf numFmtId="0" fontId="4" fillId="0" borderId="0" xfId="59" applyFont="1" applyBorder="1" applyAlignment="1" applyProtection="1">
      <alignment horizontal="left" shrinkToFit="1"/>
      <protection hidden="1" locked="0"/>
    </xf>
    <xf numFmtId="0" fontId="8" fillId="9" borderId="100" xfId="54" applyFont="1" applyFill="1" applyBorder="1" applyAlignment="1" applyProtection="1">
      <alignment vertical="center"/>
      <protection/>
    </xf>
    <xf numFmtId="0" fontId="87" fillId="9" borderId="101" xfId="0" applyFont="1" applyFill="1" applyBorder="1" applyAlignment="1">
      <alignment vertical="center"/>
    </xf>
    <xf numFmtId="0" fontId="8" fillId="0" borderId="102" xfId="0" applyFont="1" applyFill="1" applyBorder="1" applyAlignment="1" applyProtection="1">
      <alignment horizontal="left" vertical="center"/>
      <protection locked="0"/>
    </xf>
    <xf numFmtId="0" fontId="4" fillId="0" borderId="0" xfId="59" applyFont="1" applyBorder="1" applyAlignment="1" applyProtection="1">
      <alignment horizontal="left" shrinkToFit="1"/>
      <protection hidden="1"/>
    </xf>
    <xf numFmtId="0" fontId="108" fillId="37" borderId="91" xfId="54" applyFont="1" applyFill="1" applyBorder="1" applyAlignment="1" applyProtection="1">
      <alignment horizontal="center" vertical="center"/>
      <protection/>
    </xf>
    <xf numFmtId="0" fontId="100" fillId="37" borderId="91" xfId="0" applyFont="1" applyFill="1" applyBorder="1" applyAlignment="1">
      <alignment horizontal="center" vertical="center"/>
    </xf>
    <xf numFmtId="0" fontId="162" fillId="34" borderId="103" xfId="0" applyFont="1" applyFill="1" applyBorder="1" applyAlignment="1" applyProtection="1">
      <alignment horizontal="center" vertical="center" wrapText="1"/>
      <protection hidden="1"/>
    </xf>
    <xf numFmtId="0" fontId="162" fillId="34" borderId="104" xfId="0" applyFont="1" applyFill="1" applyBorder="1" applyAlignment="1" applyProtection="1">
      <alignment horizontal="center" vertical="center" wrapText="1"/>
      <protection hidden="1"/>
    </xf>
    <xf numFmtId="0" fontId="162" fillId="34" borderId="0" xfId="0" applyFont="1" applyFill="1" applyBorder="1" applyAlignment="1" applyProtection="1">
      <alignment horizontal="center" vertical="center" wrapText="1"/>
      <protection hidden="1"/>
    </xf>
    <xf numFmtId="0" fontId="162" fillId="34" borderId="89" xfId="0" applyFont="1" applyFill="1" applyBorder="1" applyAlignment="1" applyProtection="1">
      <alignment horizontal="center" vertical="center" wrapText="1"/>
      <protection hidden="1"/>
    </xf>
    <xf numFmtId="0" fontId="163" fillId="38" borderId="69" xfId="0" applyFont="1" applyFill="1" applyBorder="1" applyAlignment="1">
      <alignment horizontal="center" vertical="center"/>
    </xf>
    <xf numFmtId="0" fontId="163" fillId="38" borderId="0" xfId="0" applyFont="1" applyFill="1" applyAlignment="1">
      <alignment horizontal="center" vertical="center"/>
    </xf>
    <xf numFmtId="0" fontId="163" fillId="38" borderId="89" xfId="0" applyFont="1" applyFill="1" applyBorder="1" applyAlignment="1">
      <alignment horizontal="center" vertical="center"/>
    </xf>
    <xf numFmtId="0" fontId="164" fillId="9" borderId="105" xfId="0" applyFont="1" applyFill="1" applyBorder="1" applyAlignment="1" applyProtection="1">
      <alignment horizontal="center" vertical="top" wrapText="1"/>
      <protection hidden="1"/>
    </xf>
    <xf numFmtId="0" fontId="164" fillId="9" borderId="106" xfId="0" applyFont="1" applyFill="1" applyBorder="1" applyAlignment="1" applyProtection="1">
      <alignment horizontal="center" vertical="top" wrapText="1"/>
      <protection hidden="1"/>
    </xf>
    <xf numFmtId="0" fontId="32" fillId="2" borderId="107" xfId="0" applyFont="1" applyFill="1" applyBorder="1" applyAlignment="1">
      <alignment horizontal="left" vertical="center"/>
    </xf>
    <xf numFmtId="0" fontId="32" fillId="2" borderId="108" xfId="0" applyFont="1" applyFill="1" applyBorder="1" applyAlignment="1">
      <alignment horizontal="left" vertical="center"/>
    </xf>
    <xf numFmtId="0" fontId="32" fillId="2" borderId="109" xfId="0" applyFont="1" applyFill="1" applyBorder="1" applyAlignment="1">
      <alignment horizontal="left" vertical="center"/>
    </xf>
    <xf numFmtId="0" fontId="143" fillId="0" borderId="31" xfId="0" applyFont="1" applyFill="1" applyBorder="1" applyAlignment="1" applyProtection="1">
      <alignment horizontal="center" vertical="center" wrapText="1"/>
      <protection hidden="1" locked="0"/>
    </xf>
    <xf numFmtId="0" fontId="143" fillId="0" borderId="110" xfId="0" applyFont="1" applyFill="1" applyBorder="1" applyAlignment="1" applyProtection="1">
      <alignment horizontal="center" vertical="center" wrapText="1"/>
      <protection hidden="1" locked="0"/>
    </xf>
    <xf numFmtId="0" fontId="143" fillId="9" borderId="31" xfId="0" applyFont="1" applyFill="1" applyBorder="1" applyAlignment="1" applyProtection="1">
      <alignment horizontal="center" vertical="center"/>
      <protection hidden="1"/>
    </xf>
    <xf numFmtId="0" fontId="0" fillId="0" borderId="110" xfId="0" applyBorder="1" applyAlignment="1">
      <alignment/>
    </xf>
    <xf numFmtId="0" fontId="144" fillId="0" borderId="31" xfId="0" applyFont="1" applyFill="1" applyBorder="1" applyAlignment="1" applyProtection="1">
      <alignment horizontal="center" vertical="center"/>
      <protection hidden="1" locked="0"/>
    </xf>
    <xf numFmtId="0" fontId="144" fillId="0" borderId="27" xfId="0" applyFont="1" applyFill="1" applyBorder="1" applyAlignment="1" applyProtection="1">
      <alignment horizontal="center" vertical="center"/>
      <protection hidden="1" locked="0"/>
    </xf>
    <xf numFmtId="0" fontId="143" fillId="9" borderId="29" xfId="0" applyFont="1" applyFill="1" applyBorder="1" applyAlignment="1" applyProtection="1">
      <alignment horizontal="left" vertical="center"/>
      <protection hidden="1"/>
    </xf>
    <xf numFmtId="0" fontId="0" fillId="0" borderId="34" xfId="0" applyBorder="1" applyAlignment="1">
      <alignment/>
    </xf>
    <xf numFmtId="0" fontId="144" fillId="0" borderId="29" xfId="0" applyFont="1" applyFill="1" applyBorder="1" applyAlignment="1" applyProtection="1">
      <alignment horizontal="left" vertical="center"/>
      <protection hidden="1" locked="0"/>
    </xf>
    <xf numFmtId="0" fontId="144" fillId="0" borderId="111" xfId="0" applyFont="1" applyFill="1" applyBorder="1" applyAlignment="1" applyProtection="1">
      <alignment horizontal="left" vertical="center"/>
      <protection hidden="1" locked="0"/>
    </xf>
    <xf numFmtId="0" fontId="144" fillId="0" borderId="34" xfId="0" applyFont="1" applyFill="1" applyBorder="1" applyAlignment="1" applyProtection="1">
      <alignment horizontal="left" vertical="center"/>
      <protection hidden="1" locked="0"/>
    </xf>
    <xf numFmtId="0" fontId="164" fillId="9" borderId="31" xfId="0" applyFont="1" applyFill="1" applyBorder="1" applyAlignment="1" applyProtection="1">
      <alignment horizontal="center" vertical="center" wrapText="1"/>
      <protection hidden="1"/>
    </xf>
    <xf numFmtId="0" fontId="158" fillId="0" borderId="110" xfId="0" applyFont="1" applyBorder="1" applyAlignment="1">
      <alignment/>
    </xf>
    <xf numFmtId="0" fontId="104" fillId="39" borderId="36" xfId="54" applyFont="1" applyFill="1" applyBorder="1" applyAlignment="1" applyProtection="1">
      <alignment horizontal="center" vertical="center" wrapText="1"/>
      <protection/>
    </xf>
    <xf numFmtId="0" fontId="105" fillId="39" borderId="60" xfId="0" applyFont="1" applyFill="1" applyBorder="1" applyAlignment="1">
      <alignment horizontal="center" vertical="center" wrapText="1"/>
    </xf>
    <xf numFmtId="0" fontId="105" fillId="39" borderId="112" xfId="0" applyFont="1" applyFill="1" applyBorder="1" applyAlignment="1">
      <alignment horizontal="center" vertical="center" wrapText="1"/>
    </xf>
    <xf numFmtId="0" fontId="165" fillId="38" borderId="113" xfId="0" applyFont="1" applyFill="1" applyBorder="1" applyAlignment="1" applyProtection="1">
      <alignment horizontal="center" vertical="center"/>
      <protection hidden="1"/>
    </xf>
    <xf numFmtId="0" fontId="165" fillId="38" borderId="114" xfId="0" applyFont="1" applyFill="1" applyBorder="1" applyAlignment="1" applyProtection="1">
      <alignment horizontal="center" vertical="center"/>
      <protection hidden="1"/>
    </xf>
    <xf numFmtId="0" fontId="166" fillId="38" borderId="115" xfId="0" applyFont="1" applyFill="1" applyBorder="1" applyAlignment="1" applyProtection="1">
      <alignment horizontal="left" vertical="center" wrapText="1"/>
      <protection hidden="1"/>
    </xf>
    <xf numFmtId="0" fontId="166" fillId="38" borderId="116" xfId="0" applyFont="1" applyFill="1" applyBorder="1" applyAlignment="1" applyProtection="1">
      <alignment horizontal="left" vertical="center" wrapText="1"/>
      <protection hidden="1"/>
    </xf>
    <xf numFmtId="0" fontId="167" fillId="9" borderId="29" xfId="0" applyFont="1" applyFill="1" applyBorder="1" applyAlignment="1">
      <alignment horizontal="center" vertical="center"/>
    </xf>
    <xf numFmtId="0" fontId="167" fillId="9" borderId="34" xfId="0" applyFont="1" applyFill="1" applyBorder="1" applyAlignment="1">
      <alignment horizontal="center" vertical="center"/>
    </xf>
    <xf numFmtId="0" fontId="168" fillId="40" borderId="117" xfId="0" applyFont="1" applyFill="1" applyBorder="1" applyAlignment="1" applyProtection="1">
      <alignment horizontal="center" vertical="center"/>
      <protection hidden="1"/>
    </xf>
    <xf numFmtId="0" fontId="168" fillId="40" borderId="118" xfId="0" applyFont="1" applyFill="1" applyBorder="1" applyAlignment="1" applyProtection="1">
      <alignment horizontal="center" vertical="center"/>
      <protection hidden="1"/>
    </xf>
    <xf numFmtId="0" fontId="168" fillId="40" borderId="119" xfId="0" applyFont="1" applyFill="1" applyBorder="1" applyAlignment="1" applyProtection="1">
      <alignment horizontal="center" vertical="center"/>
      <protection hidden="1"/>
    </xf>
    <xf numFmtId="0" fontId="144" fillId="0" borderId="120" xfId="0" applyFont="1" applyFill="1" applyBorder="1" applyAlignment="1" applyProtection="1">
      <alignment horizontal="center" vertical="center"/>
      <protection hidden="1" locked="0"/>
    </xf>
    <xf numFmtId="0" fontId="144" fillId="0" borderId="121" xfId="0" applyFont="1" applyFill="1" applyBorder="1" applyAlignment="1" applyProtection="1">
      <alignment horizontal="center" vertical="center"/>
      <protection hidden="1" locked="0"/>
    </xf>
    <xf numFmtId="0" fontId="143" fillId="9" borderId="122" xfId="0" applyFont="1" applyFill="1" applyBorder="1" applyAlignment="1" applyProtection="1">
      <alignment horizontal="center" vertical="center"/>
      <protection hidden="1"/>
    </xf>
    <xf numFmtId="0" fontId="0" fillId="0" borderId="123" xfId="0" applyBorder="1" applyAlignment="1">
      <alignment/>
    </xf>
    <xf numFmtId="0" fontId="145" fillId="9" borderId="31" xfId="0" applyFont="1" applyFill="1" applyBorder="1" applyAlignment="1" applyProtection="1">
      <alignment horizontal="center" vertical="center" wrapText="1"/>
      <protection hidden="1"/>
    </xf>
    <xf numFmtId="0" fontId="145" fillId="9" borderId="36" xfId="0" applyFont="1" applyFill="1" applyBorder="1" applyAlignment="1" applyProtection="1">
      <alignment horizontal="center" vertical="center" wrapText="1"/>
      <protection hidden="1"/>
    </xf>
    <xf numFmtId="0" fontId="145" fillId="9" borderId="124" xfId="0" applyFont="1" applyFill="1" applyBorder="1" applyAlignment="1" applyProtection="1">
      <alignment horizontal="center" vertical="center" wrapText="1"/>
      <protection hidden="1"/>
    </xf>
    <xf numFmtId="0" fontId="143" fillId="9" borderId="34" xfId="0" applyFont="1" applyFill="1" applyBorder="1" applyAlignment="1" applyProtection="1">
      <alignment horizontal="left" vertical="center"/>
      <protection hidden="1"/>
    </xf>
    <xf numFmtId="49" fontId="144" fillId="0" borderId="29" xfId="0" applyNumberFormat="1" applyFont="1" applyFill="1" applyBorder="1" applyAlignment="1" applyProtection="1">
      <alignment horizontal="center" vertical="center"/>
      <protection hidden="1" locked="0"/>
    </xf>
    <xf numFmtId="49" fontId="144" fillId="0" borderId="111" xfId="0" applyNumberFormat="1" applyFont="1" applyFill="1" applyBorder="1" applyAlignment="1" applyProtection="1">
      <alignment horizontal="center" vertical="center"/>
      <protection hidden="1" locked="0"/>
    </xf>
    <xf numFmtId="49" fontId="144" fillId="0" borderId="34" xfId="0" applyNumberFormat="1" applyFont="1" applyFill="1" applyBorder="1" applyAlignment="1" applyProtection="1">
      <alignment horizontal="center" vertical="center"/>
      <protection hidden="1" locked="0"/>
    </xf>
    <xf numFmtId="0" fontId="145" fillId="9" borderId="125" xfId="0" applyFont="1" applyFill="1" applyBorder="1" applyAlignment="1" applyProtection="1">
      <alignment horizontal="center" vertical="center"/>
      <protection hidden="1"/>
    </xf>
    <xf numFmtId="0" fontId="0" fillId="0" borderId="126" xfId="0" applyBorder="1" applyAlignment="1">
      <alignment/>
    </xf>
    <xf numFmtId="0" fontId="145" fillId="0" borderId="29" xfId="0" applyFont="1" applyFill="1" applyBorder="1" applyAlignment="1" applyProtection="1">
      <alignment horizontal="left" vertical="center"/>
      <protection hidden="1" locked="0"/>
    </xf>
    <xf numFmtId="0" fontId="145" fillId="0" borderId="111" xfId="0" applyFont="1" applyFill="1" applyBorder="1" applyAlignment="1" applyProtection="1">
      <alignment horizontal="left" vertical="center"/>
      <protection hidden="1" locked="0"/>
    </xf>
    <xf numFmtId="0" fontId="145" fillId="0" borderId="34" xfId="0" applyFont="1" applyFill="1" applyBorder="1" applyAlignment="1" applyProtection="1">
      <alignment horizontal="left" vertical="center"/>
      <protection hidden="1" locked="0"/>
    </xf>
    <xf numFmtId="49" fontId="144" fillId="0" borderId="125" xfId="0" applyNumberFormat="1" applyFont="1" applyFill="1" applyBorder="1" applyAlignment="1" applyProtection="1">
      <alignment horizontal="center" vertical="center"/>
      <protection hidden="1" locked="0"/>
    </xf>
    <xf numFmtId="49" fontId="144" fillId="0" borderId="127" xfId="0" applyNumberFormat="1" applyFont="1" applyFill="1" applyBorder="1" applyAlignment="1" applyProtection="1">
      <alignment horizontal="center" vertical="center"/>
      <protection hidden="1" locked="0"/>
    </xf>
    <xf numFmtId="49" fontId="144" fillId="0" borderId="126" xfId="0" applyNumberFormat="1" applyFont="1" applyFill="1" applyBorder="1" applyAlignment="1" applyProtection="1">
      <alignment horizontal="center" vertical="center"/>
      <protection hidden="1" locked="0"/>
    </xf>
    <xf numFmtId="0" fontId="144" fillId="0" borderId="29" xfId="0" applyFont="1" applyFill="1" applyBorder="1" applyAlignment="1" applyProtection="1">
      <alignment horizontal="center" vertical="center"/>
      <protection hidden="1" locked="0"/>
    </xf>
    <xf numFmtId="0" fontId="144" fillId="0" borderId="34" xfId="0" applyFont="1" applyFill="1" applyBorder="1" applyAlignment="1" applyProtection="1">
      <alignment horizontal="center" vertical="center"/>
      <protection hidden="1" locked="0"/>
    </xf>
    <xf numFmtId="178" fontId="144" fillId="0" borderId="30" xfId="0" applyNumberFormat="1" applyFont="1" applyFill="1" applyBorder="1" applyAlignment="1" applyProtection="1">
      <alignment horizontal="center" vertical="center"/>
      <protection hidden="1" locked="0"/>
    </xf>
    <xf numFmtId="178" fontId="144" fillId="0" borderId="99" xfId="0" applyNumberFormat="1" applyFont="1" applyFill="1" applyBorder="1" applyAlignment="1" applyProtection="1">
      <alignment horizontal="center" vertical="center"/>
      <protection hidden="1" locked="0"/>
    </xf>
    <xf numFmtId="0" fontId="145" fillId="9" borderId="29" xfId="0" applyFont="1" applyFill="1" applyBorder="1" applyAlignment="1" applyProtection="1">
      <alignment horizontal="left" vertical="center"/>
      <protection hidden="1"/>
    </xf>
    <xf numFmtId="0" fontId="145" fillId="9" borderId="34" xfId="0" applyFont="1" applyFill="1" applyBorder="1" applyAlignment="1" applyProtection="1">
      <alignment horizontal="left" vertical="center"/>
      <protection hidden="1"/>
    </xf>
    <xf numFmtId="0" fontId="145" fillId="9" borderId="125" xfId="0" applyFont="1" applyFill="1" applyBorder="1" applyAlignment="1" applyProtection="1">
      <alignment horizontal="left" vertical="center"/>
      <protection hidden="1"/>
    </xf>
    <xf numFmtId="0" fontId="145" fillId="9" borderId="99" xfId="0" applyFont="1" applyFill="1" applyBorder="1" applyAlignment="1" applyProtection="1">
      <alignment horizontal="left" vertical="center"/>
      <protection hidden="1"/>
    </xf>
    <xf numFmtId="0" fontId="78" fillId="0" borderId="94" xfId="59" applyFont="1" applyFill="1" applyBorder="1" applyAlignment="1" applyProtection="1">
      <alignment horizontal="center" vertical="center" wrapText="1"/>
      <protection hidden="1" locked="0"/>
    </xf>
    <xf numFmtId="0" fontId="78" fillId="0" borderId="95" xfId="59" applyFont="1" applyFill="1" applyBorder="1" applyAlignment="1" applyProtection="1">
      <alignment horizontal="center" vertical="center" wrapText="1"/>
      <protection hidden="1" locked="0"/>
    </xf>
    <xf numFmtId="0" fontId="78" fillId="0" borderId="96" xfId="59" applyFont="1" applyFill="1" applyBorder="1" applyAlignment="1" applyProtection="1">
      <alignment horizontal="center" vertical="center" wrapText="1"/>
      <protection hidden="1" locked="0"/>
    </xf>
    <xf numFmtId="0" fontId="0" fillId="10" borderId="0" xfId="0" applyFill="1" applyAlignment="1">
      <alignment horizontal="center" wrapText="1"/>
    </xf>
    <xf numFmtId="0" fontId="70" fillId="33" borderId="128" xfId="0" applyFont="1" applyFill="1" applyBorder="1" applyAlignment="1" applyProtection="1">
      <alignment horizontal="center" vertical="center" wrapText="1"/>
      <protection hidden="1"/>
    </xf>
    <xf numFmtId="0" fontId="70" fillId="33" borderId="129" xfId="0" applyFont="1" applyFill="1" applyBorder="1" applyAlignment="1" applyProtection="1">
      <alignment horizontal="center" vertical="center" wrapText="1"/>
      <protection hidden="1"/>
    </xf>
    <xf numFmtId="0" fontId="70" fillId="33" borderId="130" xfId="0" applyFont="1" applyFill="1" applyBorder="1" applyAlignment="1" applyProtection="1">
      <alignment horizontal="center" vertical="center" wrapText="1"/>
      <protection hidden="1"/>
    </xf>
    <xf numFmtId="0" fontId="70" fillId="33" borderId="131" xfId="0" applyFont="1" applyFill="1" applyBorder="1" applyAlignment="1" applyProtection="1">
      <alignment horizontal="center" vertical="center" wrapText="1"/>
      <protection hidden="1"/>
    </xf>
    <xf numFmtId="0" fontId="70" fillId="33" borderId="132" xfId="0" applyFont="1" applyFill="1" applyBorder="1" applyAlignment="1" applyProtection="1">
      <alignment horizontal="center" vertical="center" wrapText="1"/>
      <protection hidden="1"/>
    </xf>
    <xf numFmtId="0" fontId="70" fillId="33" borderId="133" xfId="0" applyFont="1" applyFill="1" applyBorder="1" applyAlignment="1" applyProtection="1">
      <alignment horizontal="center" vertical="center" wrapText="1"/>
      <protection hidden="1"/>
    </xf>
    <xf numFmtId="0" fontId="23" fillId="41" borderId="134" xfId="0" applyFont="1" applyFill="1" applyBorder="1" applyAlignment="1" applyProtection="1">
      <alignment horizontal="center" vertical="center" wrapText="1"/>
      <protection hidden="1"/>
    </xf>
    <xf numFmtId="0" fontId="23" fillId="41" borderId="135" xfId="0" applyFont="1" applyFill="1" applyBorder="1" applyAlignment="1" applyProtection="1">
      <alignment horizontal="center" vertical="center" wrapText="1"/>
      <protection hidden="1"/>
    </xf>
    <xf numFmtId="0" fontId="23" fillId="41" borderId="136" xfId="0" applyFont="1" applyFill="1" applyBorder="1" applyAlignment="1" applyProtection="1">
      <alignment horizontal="center" vertical="center" wrapText="1"/>
      <protection hidden="1"/>
    </xf>
    <xf numFmtId="0" fontId="23" fillId="41" borderId="137" xfId="0" applyFont="1" applyFill="1" applyBorder="1" applyAlignment="1" applyProtection="1">
      <alignment horizontal="center" vertical="center" wrapText="1"/>
      <protection hidden="1"/>
    </xf>
    <xf numFmtId="181" fontId="147" fillId="41" borderId="138" xfId="0" applyNumberFormat="1" applyFont="1" applyFill="1" applyBorder="1" applyAlignment="1" applyProtection="1">
      <alignment horizontal="center" vertical="center" wrapText="1"/>
      <protection hidden="1"/>
    </xf>
    <xf numFmtId="181" fontId="147" fillId="41" borderId="139" xfId="0" applyNumberFormat="1" applyFont="1" applyFill="1" applyBorder="1" applyAlignment="1" applyProtection="1">
      <alignment horizontal="center" vertical="center" wrapText="1"/>
      <protection hidden="1"/>
    </xf>
    <xf numFmtId="0" fontId="143" fillId="9" borderId="100" xfId="0" applyFont="1" applyFill="1" applyBorder="1" applyAlignment="1">
      <alignment horizontal="left" vertical="center"/>
    </xf>
    <xf numFmtId="0" fontId="0" fillId="0" borderId="101" xfId="0" applyBorder="1" applyAlignment="1">
      <alignment/>
    </xf>
    <xf numFmtId="0" fontId="143" fillId="0" borderId="100" xfId="0" applyFont="1" applyFill="1" applyBorder="1" applyAlignment="1" applyProtection="1">
      <alignment horizontal="left" vertical="center"/>
      <protection locked="0"/>
    </xf>
    <xf numFmtId="0" fontId="143" fillId="0" borderId="140" xfId="0" applyFont="1" applyFill="1" applyBorder="1" applyAlignment="1" applyProtection="1">
      <alignment horizontal="left" vertical="center"/>
      <protection locked="0"/>
    </xf>
    <xf numFmtId="0" fontId="143" fillId="0" borderId="101" xfId="0" applyFont="1" applyFill="1" applyBorder="1" applyAlignment="1" applyProtection="1">
      <alignment horizontal="left" vertical="center"/>
      <protection locked="0"/>
    </xf>
    <xf numFmtId="0" fontId="157" fillId="7" borderId="141" xfId="0" applyFont="1" applyFill="1" applyBorder="1" applyAlignment="1">
      <alignment horizontal="center" vertical="center"/>
    </xf>
    <xf numFmtId="0" fontId="157" fillId="7" borderId="103" xfId="0" applyFont="1" applyFill="1" applyBorder="1" applyAlignment="1">
      <alignment horizontal="center" vertical="center"/>
    </xf>
    <xf numFmtId="0" fontId="157" fillId="7" borderId="104" xfId="0" applyFont="1" applyFill="1" applyBorder="1" applyAlignment="1">
      <alignment horizontal="center" vertical="center"/>
    </xf>
    <xf numFmtId="0" fontId="157" fillId="7" borderId="69" xfId="0" applyFont="1" applyFill="1" applyBorder="1" applyAlignment="1">
      <alignment horizontal="center" vertical="center"/>
    </xf>
    <xf numFmtId="0" fontId="157" fillId="7" borderId="0" xfId="0" applyFont="1" applyFill="1" applyBorder="1" applyAlignment="1">
      <alignment horizontal="center" vertical="center"/>
    </xf>
    <xf numFmtId="0" fontId="157" fillId="7" borderId="89" xfId="0" applyFont="1" applyFill="1" applyBorder="1" applyAlignment="1">
      <alignment horizontal="center" vertical="center"/>
    </xf>
    <xf numFmtId="0" fontId="157" fillId="7" borderId="142" xfId="0" applyFont="1" applyFill="1" applyBorder="1" applyAlignment="1">
      <alignment horizontal="center" vertical="center"/>
    </xf>
    <xf numFmtId="0" fontId="157" fillId="7" borderId="14" xfId="0" applyFont="1" applyFill="1" applyBorder="1" applyAlignment="1">
      <alignment horizontal="center" vertical="center"/>
    </xf>
    <xf numFmtId="0" fontId="157" fillId="7" borderId="143" xfId="0" applyFont="1" applyFill="1" applyBorder="1" applyAlignment="1">
      <alignment horizontal="center" vertical="center"/>
    </xf>
    <xf numFmtId="0" fontId="143" fillId="9" borderId="101" xfId="0" applyFont="1" applyFill="1" applyBorder="1" applyAlignment="1">
      <alignment horizontal="left" vertical="center"/>
    </xf>
    <xf numFmtId="0" fontId="100" fillId="42" borderId="100" xfId="0" applyFont="1" applyFill="1" applyBorder="1" applyAlignment="1">
      <alignment horizontal="center" vertical="center"/>
    </xf>
    <xf numFmtId="0" fontId="100" fillId="42" borderId="101" xfId="0" applyFont="1" applyFill="1" applyBorder="1" applyAlignment="1">
      <alignment horizontal="center" vertical="center"/>
    </xf>
    <xf numFmtId="0" fontId="149" fillId="9" borderId="29" xfId="0" applyFont="1" applyFill="1" applyBorder="1" applyAlignment="1">
      <alignment horizontal="left" vertical="center"/>
    </xf>
    <xf numFmtId="0" fontId="149" fillId="9" borderId="111" xfId="0" applyFont="1" applyFill="1" applyBorder="1" applyAlignment="1">
      <alignment horizontal="left" vertical="center"/>
    </xf>
    <xf numFmtId="0" fontId="149" fillId="9" borderId="144" xfId="0" applyFont="1" applyFill="1" applyBorder="1" applyAlignment="1" applyProtection="1">
      <alignment horizontal="left" vertical="center"/>
      <protection hidden="1"/>
    </xf>
    <xf numFmtId="0" fontId="149" fillId="9" borderId="145" xfId="0" applyFont="1" applyFill="1" applyBorder="1" applyAlignment="1" applyProtection="1">
      <alignment horizontal="left" vertical="center"/>
      <protection hidden="1"/>
    </xf>
    <xf numFmtId="0" fontId="147" fillId="41" borderId="146" xfId="0" applyFont="1" applyFill="1" applyBorder="1" applyAlignment="1" applyProtection="1">
      <alignment horizontal="center" vertical="center" wrapText="1"/>
      <protection hidden="1"/>
    </xf>
    <xf numFmtId="0" fontId="147" fillId="41" borderId="147" xfId="0" applyFont="1" applyFill="1" applyBorder="1" applyAlignment="1" applyProtection="1">
      <alignment horizontal="center" vertical="center" wrapText="1"/>
      <protection hidden="1"/>
    </xf>
    <xf numFmtId="0" fontId="145" fillId="25" borderId="148" xfId="0" applyFont="1" applyFill="1" applyBorder="1" applyAlignment="1" applyProtection="1">
      <alignment horizontal="center" vertical="center" wrapText="1"/>
      <protection hidden="1"/>
    </xf>
    <xf numFmtId="0" fontId="145" fillId="25" borderId="68" xfId="0" applyFont="1" applyFill="1" applyBorder="1" applyAlignment="1" applyProtection="1">
      <alignment horizontal="center" vertical="center" wrapText="1"/>
      <protection hidden="1"/>
    </xf>
    <xf numFmtId="0" fontId="143" fillId="9" borderId="29" xfId="0" applyFont="1" applyFill="1" applyBorder="1" applyAlignment="1" applyProtection="1">
      <alignment horizontal="center" vertical="center"/>
      <protection hidden="1"/>
    </xf>
    <xf numFmtId="0" fontId="143" fillId="9" borderId="34" xfId="0" applyFont="1" applyFill="1" applyBorder="1" applyAlignment="1" applyProtection="1">
      <alignment horizontal="center" vertical="center"/>
      <protection hidden="1"/>
    </xf>
    <xf numFmtId="186" fontId="144" fillId="0" borderId="29" xfId="0" applyNumberFormat="1" applyFont="1" applyFill="1" applyBorder="1" applyAlignment="1" applyProtection="1">
      <alignment horizontal="center" vertical="center" wrapText="1"/>
      <protection locked="0"/>
    </xf>
    <xf numFmtId="186" fontId="144" fillId="0" borderId="34" xfId="0" applyNumberFormat="1" applyFont="1" applyFill="1" applyBorder="1" applyAlignment="1" applyProtection="1">
      <alignment horizontal="center" vertical="center" wrapText="1"/>
      <protection locked="0"/>
    </xf>
    <xf numFmtId="0" fontId="169" fillId="38" borderId="115" xfId="0" applyFont="1" applyFill="1" applyBorder="1" applyAlignment="1" applyProtection="1">
      <alignment horizontal="left" vertical="center" wrapText="1"/>
      <protection hidden="1"/>
    </xf>
    <xf numFmtId="0" fontId="0" fillId="0" borderId="149" xfId="0" applyBorder="1" applyAlignment="1">
      <alignment horizontal="left"/>
    </xf>
    <xf numFmtId="0" fontId="0" fillId="0" borderId="116" xfId="0" applyBorder="1" applyAlignment="1">
      <alignment horizontal="left"/>
    </xf>
    <xf numFmtId="0" fontId="99" fillId="43" borderId="117" xfId="59" applyFont="1" applyFill="1" applyBorder="1" applyAlignment="1" applyProtection="1">
      <alignment horizontal="center" vertical="center"/>
      <protection hidden="1"/>
    </xf>
    <xf numFmtId="0" fontId="99" fillId="43" borderId="118" xfId="59" applyFont="1" applyFill="1" applyBorder="1" applyAlignment="1" applyProtection="1">
      <alignment horizontal="center" vertical="center"/>
      <protection hidden="1"/>
    </xf>
    <xf numFmtId="0" fontId="99" fillId="43" borderId="119" xfId="59" applyFont="1" applyFill="1" applyBorder="1" applyAlignment="1" applyProtection="1">
      <alignment horizontal="center" vertical="center"/>
      <protection hidden="1"/>
    </xf>
    <xf numFmtId="0" fontId="78" fillId="0" borderId="150" xfId="59" applyFont="1" applyFill="1" applyBorder="1" applyAlignment="1" applyProtection="1">
      <alignment horizontal="center" vertical="center" wrapText="1"/>
      <protection hidden="1" locked="0"/>
    </xf>
    <xf numFmtId="0" fontId="90" fillId="0" borderId="150" xfId="59" applyFont="1" applyFill="1" applyBorder="1" applyAlignment="1" applyProtection="1">
      <alignment horizontal="center" vertical="center"/>
      <protection hidden="1" locked="0"/>
    </xf>
    <xf numFmtId="0" fontId="90" fillId="0" borderId="95" xfId="59" applyFont="1" applyFill="1" applyBorder="1" applyAlignment="1" applyProtection="1">
      <alignment horizontal="center" vertical="center"/>
      <protection hidden="1" locked="0"/>
    </xf>
    <xf numFmtId="0" fontId="90" fillId="0" borderId="96" xfId="59" applyFont="1" applyFill="1" applyBorder="1" applyAlignment="1" applyProtection="1">
      <alignment horizontal="center" vertical="center"/>
      <protection hidden="1" locked="0"/>
    </xf>
    <xf numFmtId="0" fontId="82" fillId="13" borderId="69" xfId="59" applyFont="1" applyFill="1" applyBorder="1" applyAlignment="1" applyProtection="1">
      <alignment horizontal="center" vertical="center" wrapText="1"/>
      <protection hidden="1"/>
    </xf>
    <xf numFmtId="0" fontId="82" fillId="13" borderId="0" xfId="59" applyFont="1" applyFill="1" applyBorder="1" applyAlignment="1" applyProtection="1">
      <alignment horizontal="center" vertical="center" wrapText="1"/>
      <protection hidden="1"/>
    </xf>
    <xf numFmtId="0" fontId="82" fillId="13" borderId="49" xfId="59" applyFont="1" applyFill="1" applyBorder="1" applyAlignment="1" applyProtection="1">
      <alignment horizontal="center" vertical="center" wrapText="1"/>
      <protection hidden="1"/>
    </xf>
    <xf numFmtId="0" fontId="78" fillId="0" borderId="151" xfId="59" applyFont="1" applyFill="1" applyBorder="1" applyAlignment="1" applyProtection="1">
      <alignment horizontal="center" vertical="center"/>
      <protection hidden="1" locked="0"/>
    </xf>
    <xf numFmtId="0" fontId="78" fillId="0" borderId="152" xfId="59" applyFont="1" applyFill="1" applyBorder="1" applyAlignment="1" applyProtection="1">
      <alignment horizontal="center" vertical="center"/>
      <protection hidden="1" locked="0"/>
    </xf>
    <xf numFmtId="0" fontId="78" fillId="0" borderId="153" xfId="59" applyFont="1" applyFill="1" applyBorder="1" applyAlignment="1" applyProtection="1">
      <alignment horizontal="center" vertical="center"/>
      <protection hidden="1" locked="0"/>
    </xf>
    <xf numFmtId="0" fontId="80" fillId="0" borderId="94" xfId="59" applyFont="1" applyFill="1" applyBorder="1" applyAlignment="1" applyProtection="1">
      <alignment horizontal="center" vertical="center" wrapText="1" shrinkToFit="1"/>
      <protection hidden="1" locked="0"/>
    </xf>
    <xf numFmtId="0" fontId="80" fillId="0" borderId="95" xfId="59" applyFont="1" applyFill="1" applyBorder="1" applyAlignment="1" applyProtection="1">
      <alignment horizontal="center" vertical="center" wrapText="1" shrinkToFit="1"/>
      <protection hidden="1" locked="0"/>
    </xf>
    <xf numFmtId="0" fontId="80" fillId="0" borderId="96" xfId="59" applyFont="1" applyFill="1" applyBorder="1" applyAlignment="1" applyProtection="1">
      <alignment horizontal="center" vertical="center" wrapText="1" shrinkToFit="1"/>
      <protection hidden="1" locked="0"/>
    </xf>
    <xf numFmtId="0" fontId="170" fillId="0" borderId="0" xfId="0" applyFont="1" applyAlignment="1" applyProtection="1">
      <alignment horizontal="center" vertical="center"/>
      <protection hidden="1"/>
    </xf>
    <xf numFmtId="0" fontId="141" fillId="0" borderId="0" xfId="0" applyFont="1" applyAlignment="1" applyProtection="1">
      <alignment horizontal="left" vertical="center" wrapText="1"/>
      <protection hidden="1"/>
    </xf>
    <xf numFmtId="0" fontId="141" fillId="0" borderId="0" xfId="0" applyFont="1" applyAlignment="1" applyProtection="1">
      <alignment horizontal="left" vertical="top" indent="17"/>
      <protection hidden="1"/>
    </xf>
    <xf numFmtId="0" fontId="171" fillId="0" borderId="0" xfId="0" applyFont="1" applyAlignment="1" applyProtection="1">
      <alignment horizontal="center"/>
      <protection hidden="1"/>
    </xf>
    <xf numFmtId="0" fontId="141" fillId="0" borderId="0" xfId="0" applyFont="1" applyAlignment="1" applyProtection="1">
      <alignment horizontal="center"/>
      <protection hidden="1"/>
    </xf>
    <xf numFmtId="0" fontId="143" fillId="0" borderId="0" xfId="0" applyFont="1" applyAlignment="1" applyProtection="1">
      <alignment horizontal="right"/>
      <protection hidden="1"/>
    </xf>
    <xf numFmtId="0" fontId="164" fillId="0" borderId="154" xfId="0" applyFont="1" applyBorder="1" applyAlignment="1" applyProtection="1">
      <alignment horizontal="center" vertical="center" textRotation="90"/>
      <protection hidden="1"/>
    </xf>
    <xf numFmtId="0" fontId="164" fillId="0" borderId="93" xfId="0" applyFont="1" applyBorder="1" applyAlignment="1" applyProtection="1">
      <alignment horizontal="center" vertical="center" textRotation="90"/>
      <protection hidden="1"/>
    </xf>
    <xf numFmtId="0" fontId="144" fillId="0" borderId="20" xfId="0" applyFont="1" applyBorder="1" applyAlignment="1" applyProtection="1">
      <alignment horizontal="center" vertical="center" textRotation="90"/>
      <protection hidden="1"/>
    </xf>
    <xf numFmtId="0" fontId="139" fillId="0" borderId="20" xfId="0" applyFont="1" applyBorder="1" applyAlignment="1" applyProtection="1">
      <alignment horizontal="center" vertical="center" wrapText="1"/>
      <protection hidden="1"/>
    </xf>
    <xf numFmtId="0" fontId="144" fillId="0" borderId="38" xfId="0" applyFont="1" applyBorder="1" applyAlignment="1" applyProtection="1">
      <alignment horizontal="center" vertical="center"/>
      <protection hidden="1"/>
    </xf>
    <xf numFmtId="0" fontId="144" fillId="0" borderId="54" xfId="0" applyFont="1" applyBorder="1" applyAlignment="1" applyProtection="1">
      <alignment horizontal="center" vertical="center"/>
      <protection hidden="1"/>
    </xf>
    <xf numFmtId="0" fontId="144" fillId="0" borderId="155" xfId="0" applyFont="1" applyBorder="1" applyAlignment="1" applyProtection="1">
      <alignment horizontal="center" vertical="center"/>
      <protection hidden="1"/>
    </xf>
    <xf numFmtId="0" fontId="146" fillId="0" borderId="20" xfId="0" applyFont="1" applyBorder="1" applyAlignment="1" applyProtection="1">
      <alignment horizontal="center" vertical="center" textRotation="90"/>
      <protection hidden="1"/>
    </xf>
    <xf numFmtId="0" fontId="147" fillId="0" borderId="20" xfId="0" applyFont="1" applyBorder="1" applyAlignment="1" applyProtection="1">
      <alignment horizontal="center" vertical="center" textRotation="90"/>
      <protection hidden="1"/>
    </xf>
    <xf numFmtId="0" fontId="144" fillId="0" borderId="20" xfId="0" applyFont="1" applyBorder="1" applyAlignment="1" applyProtection="1">
      <alignment horizontal="center" vertical="center"/>
      <protection hidden="1"/>
    </xf>
    <xf numFmtId="0" fontId="4" fillId="0" borderId="0" xfId="0" applyFont="1" applyAlignment="1" applyProtection="1">
      <alignment horizontal="right" vertical="top"/>
      <protection hidden="1"/>
    </xf>
    <xf numFmtId="0" fontId="139" fillId="0" borderId="38" xfId="0" applyFont="1" applyBorder="1" applyAlignment="1" applyProtection="1">
      <alignment horizontal="center" vertical="center"/>
      <protection hidden="1" locked="0"/>
    </xf>
    <xf numFmtId="0" fontId="139" fillId="0" borderId="155" xfId="0" applyFont="1" applyBorder="1" applyAlignment="1" applyProtection="1">
      <alignment horizontal="center" vertical="center"/>
      <protection hidden="1" locked="0"/>
    </xf>
    <xf numFmtId="0" fontId="167" fillId="0" borderId="0" xfId="0" applyFont="1" applyAlignment="1" applyProtection="1">
      <alignment horizontal="center" vertical="center"/>
      <protection hidden="1"/>
    </xf>
    <xf numFmtId="0" fontId="167" fillId="0" borderId="44" xfId="0" applyFont="1" applyBorder="1" applyAlignment="1" applyProtection="1">
      <alignment horizontal="center" vertical="center"/>
      <protection hidden="1"/>
    </xf>
    <xf numFmtId="0" fontId="139" fillId="0" borderId="20" xfId="0" applyFont="1" applyBorder="1" applyAlignment="1" applyProtection="1">
      <alignment horizontal="center" vertical="center"/>
      <protection hidden="1"/>
    </xf>
    <xf numFmtId="0" fontId="145" fillId="0" borderId="154" xfId="0" applyFont="1" applyBorder="1" applyAlignment="1" applyProtection="1">
      <alignment horizontal="center" textRotation="90"/>
      <protection hidden="1"/>
    </xf>
    <xf numFmtId="0" fontId="145" fillId="0" borderId="93" xfId="0" applyFont="1" applyBorder="1" applyAlignment="1" applyProtection="1">
      <alignment horizontal="center" textRotation="90"/>
      <protection hidden="1"/>
    </xf>
    <xf numFmtId="0" fontId="9" fillId="0" borderId="0" xfId="0" applyFont="1" applyAlignment="1" applyProtection="1">
      <alignment horizontal="left" vertical="top" wrapText="1"/>
      <protection hidden="1"/>
    </xf>
    <xf numFmtId="0" fontId="144" fillId="0" borderId="0" xfId="0" applyFont="1" applyAlignment="1" applyProtection="1">
      <alignment horizontal="center"/>
      <protection hidden="1"/>
    </xf>
    <xf numFmtId="0" fontId="145" fillId="0" borderId="20" xfId="0" applyFont="1" applyBorder="1" applyAlignment="1" applyProtection="1">
      <alignment horizontal="center" vertical="center" textRotation="90"/>
      <protection hidden="1"/>
    </xf>
    <xf numFmtId="0" fontId="70" fillId="0" borderId="40" xfId="0" applyFont="1" applyBorder="1" applyAlignment="1" applyProtection="1">
      <alignment horizontal="center" vertical="center" wrapText="1"/>
      <protection hidden="1"/>
    </xf>
    <xf numFmtId="0" fontId="70" fillId="0" borderId="0" xfId="0" applyFont="1" applyBorder="1" applyAlignment="1" applyProtection="1">
      <alignment horizontal="center" vertical="center" wrapText="1"/>
      <protection hidden="1"/>
    </xf>
    <xf numFmtId="0" fontId="70" fillId="0" borderId="42" xfId="0" applyFont="1" applyBorder="1" applyAlignment="1" applyProtection="1">
      <alignment horizontal="center" vertical="center" wrapText="1"/>
      <protection hidden="1"/>
    </xf>
    <xf numFmtId="0" fontId="70" fillId="0" borderId="156" xfId="0" applyFont="1" applyBorder="1" applyAlignment="1" applyProtection="1">
      <alignment horizontal="center" vertical="center"/>
      <protection hidden="1"/>
    </xf>
    <xf numFmtId="0" fontId="70" fillId="0" borderId="157" xfId="0" applyFont="1" applyBorder="1" applyAlignment="1" applyProtection="1">
      <alignment horizontal="center" vertical="center"/>
      <protection hidden="1"/>
    </xf>
    <xf numFmtId="178" fontId="70" fillId="0" borderId="57" xfId="0" applyNumberFormat="1" applyFont="1" applyBorder="1" applyAlignment="1" applyProtection="1">
      <alignment horizontal="center" vertical="center" wrapText="1"/>
      <protection hidden="1"/>
    </xf>
    <xf numFmtId="0" fontId="41" fillId="0" borderId="57" xfId="0" applyFont="1" applyBorder="1" applyAlignment="1" applyProtection="1">
      <alignment horizontal="center" vertical="center" wrapText="1"/>
      <protection hidden="1"/>
    </xf>
    <xf numFmtId="0" fontId="41" fillId="0" borderId="0" xfId="0" applyFont="1" applyBorder="1" applyAlignment="1" applyProtection="1">
      <alignment horizontal="center" vertical="center"/>
      <protection hidden="1"/>
    </xf>
    <xf numFmtId="2" fontId="77" fillId="0" borderId="0" xfId="0" applyNumberFormat="1" applyFont="1" applyBorder="1" applyAlignment="1" applyProtection="1">
      <alignment horizontal="right" vertical="center"/>
      <protection hidden="1"/>
    </xf>
    <xf numFmtId="2" fontId="77" fillId="0" borderId="49" xfId="0" applyNumberFormat="1" applyFont="1" applyBorder="1" applyAlignment="1" applyProtection="1">
      <alignment horizontal="right" vertical="center"/>
      <protection hidden="1"/>
    </xf>
    <xf numFmtId="0" fontId="77" fillId="0" borderId="158" xfId="0" applyFont="1" applyBorder="1" applyAlignment="1" applyProtection="1">
      <alignment horizontal="center" vertical="center"/>
      <protection hidden="1"/>
    </xf>
    <xf numFmtId="0" fontId="77" fillId="0" borderId="159" xfId="0" applyFont="1" applyBorder="1" applyAlignment="1" applyProtection="1">
      <alignment horizontal="center" vertical="center"/>
      <protection hidden="1"/>
    </xf>
    <xf numFmtId="0" fontId="89" fillId="0" borderId="0" xfId="0" applyFont="1" applyBorder="1" applyAlignment="1" applyProtection="1">
      <alignment horizontal="center" vertical="center" wrapText="1"/>
      <protection hidden="1"/>
    </xf>
    <xf numFmtId="0" fontId="89" fillId="0" borderId="42" xfId="0" applyFont="1" applyBorder="1" applyAlignment="1" applyProtection="1">
      <alignment horizontal="center" vertical="center" wrapText="1"/>
      <protection hidden="1"/>
    </xf>
    <xf numFmtId="0" fontId="151" fillId="0" borderId="160" xfId="0" applyFont="1" applyBorder="1" applyAlignment="1" applyProtection="1">
      <alignment horizontal="center" vertical="center"/>
      <protection hidden="1"/>
    </xf>
    <xf numFmtId="0" fontId="151" fillId="0" borderId="157" xfId="0" applyFont="1" applyBorder="1" applyAlignment="1" applyProtection="1">
      <alignment horizontal="center" vertical="center"/>
      <protection hidden="1"/>
    </xf>
    <xf numFmtId="0" fontId="70" fillId="0" borderId="0" xfId="0" applyFont="1" applyBorder="1" applyAlignment="1" applyProtection="1">
      <alignment horizontal="left" vertical="center" shrinkToFit="1"/>
      <protection hidden="1"/>
    </xf>
    <xf numFmtId="0" fontId="151" fillId="0" borderId="161" xfId="0" applyFont="1" applyBorder="1" applyAlignment="1" applyProtection="1">
      <alignment horizontal="center" vertical="center"/>
      <protection hidden="1"/>
    </xf>
    <xf numFmtId="2" fontId="77" fillId="0" borderId="158" xfId="0" applyNumberFormat="1" applyFont="1" applyBorder="1" applyAlignment="1" applyProtection="1">
      <alignment horizontal="right" vertical="center"/>
      <protection hidden="1"/>
    </xf>
    <xf numFmtId="2" fontId="77" fillId="0" borderId="159" xfId="0" applyNumberFormat="1" applyFont="1" applyBorder="1" applyAlignment="1" applyProtection="1">
      <alignment horizontal="right" vertical="center"/>
      <protection hidden="1"/>
    </xf>
    <xf numFmtId="0" fontId="153" fillId="0" borderId="0" xfId="0" applyFont="1" applyBorder="1" applyAlignment="1" applyProtection="1">
      <alignment horizontal="left" vertical="center" wrapText="1"/>
      <protection hidden="1"/>
    </xf>
    <xf numFmtId="0" fontId="153" fillId="0" borderId="49" xfId="0" applyFont="1" applyBorder="1" applyAlignment="1" applyProtection="1">
      <alignment horizontal="left" vertical="center" wrapText="1"/>
      <protection hidden="1"/>
    </xf>
    <xf numFmtId="2" fontId="77" fillId="0" borderId="50" xfId="0" applyNumberFormat="1" applyFont="1" applyBorder="1" applyAlignment="1" applyProtection="1">
      <alignment horizontal="right" vertical="center"/>
      <protection hidden="1"/>
    </xf>
    <xf numFmtId="2" fontId="77" fillId="0" borderId="55" xfId="0" applyNumberFormat="1" applyFont="1" applyBorder="1" applyAlignment="1" applyProtection="1">
      <alignment horizontal="right" vertical="center"/>
      <protection hidden="1"/>
    </xf>
    <xf numFmtId="0" fontId="78" fillId="0" borderId="0" xfId="0" applyFont="1" applyBorder="1" applyAlignment="1" applyProtection="1">
      <alignment horizontal="center" vertical="center"/>
      <protection hidden="1"/>
    </xf>
    <xf numFmtId="0" fontId="78" fillId="0" borderId="49" xfId="0" applyFont="1" applyBorder="1" applyAlignment="1" applyProtection="1">
      <alignment horizontal="center" vertical="center"/>
      <protection hidden="1"/>
    </xf>
    <xf numFmtId="0" fontId="90" fillId="0" borderId="41" xfId="0" applyFont="1" applyBorder="1" applyAlignment="1" applyProtection="1">
      <alignment horizontal="left" vertical="center"/>
      <protection hidden="1"/>
    </xf>
    <xf numFmtId="0" fontId="90" fillId="0" borderId="0" xfId="0" applyFont="1" applyBorder="1" applyAlignment="1" applyProtection="1">
      <alignment horizontal="left" vertical="center"/>
      <protection hidden="1"/>
    </xf>
    <xf numFmtId="0" fontId="90" fillId="0" borderId="49" xfId="0" applyFont="1" applyBorder="1" applyAlignment="1" applyProtection="1">
      <alignment horizontal="left" vertical="center"/>
      <protection hidden="1"/>
    </xf>
    <xf numFmtId="0" fontId="151" fillId="0" borderId="0" xfId="0" applyFont="1" applyBorder="1" applyAlignment="1" applyProtection="1">
      <alignment horizontal="right" vertical="center"/>
      <protection hidden="1"/>
    </xf>
    <xf numFmtId="0" fontId="70" fillId="0" borderId="0" xfId="0" applyFont="1" applyBorder="1" applyAlignment="1" applyProtection="1">
      <alignment horizontal="left" vertical="center"/>
      <protection hidden="1"/>
    </xf>
    <xf numFmtId="0" fontId="70" fillId="0" borderId="38" xfId="0" applyFont="1" applyBorder="1" applyAlignment="1" applyProtection="1">
      <alignment horizontal="center" vertical="center"/>
      <protection hidden="1"/>
    </xf>
    <xf numFmtId="0" fontId="70" fillId="0" borderId="54" xfId="0" applyFont="1" applyBorder="1" applyAlignment="1" applyProtection="1">
      <alignment horizontal="center" vertical="center"/>
      <protection hidden="1"/>
    </xf>
    <xf numFmtId="0" fontId="70" fillId="0" borderId="155" xfId="0" applyFont="1" applyBorder="1" applyAlignment="1" applyProtection="1">
      <alignment horizontal="center" vertical="center"/>
      <protection hidden="1"/>
    </xf>
    <xf numFmtId="0" fontId="78" fillId="0" borderId="0" xfId="0" applyFont="1" applyBorder="1" applyAlignment="1" applyProtection="1">
      <alignment horizontal="center" vertical="center" shrinkToFit="1"/>
      <protection hidden="1"/>
    </xf>
    <xf numFmtId="0" fontId="77" fillId="0" borderId="162" xfId="0" applyFont="1" applyBorder="1" applyAlignment="1" applyProtection="1">
      <alignment horizontal="center" vertical="center"/>
      <protection hidden="1"/>
    </xf>
    <xf numFmtId="0" fontId="77" fillId="0" borderId="163" xfId="0" applyFont="1" applyBorder="1" applyAlignment="1" applyProtection="1">
      <alignment horizontal="center" vertical="center"/>
      <protection hidden="1"/>
    </xf>
    <xf numFmtId="0" fontId="70" fillId="0" borderId="0" xfId="0" applyFont="1" applyBorder="1" applyAlignment="1" applyProtection="1">
      <alignment horizontal="center" vertical="center"/>
      <protection hidden="1"/>
    </xf>
    <xf numFmtId="0" fontId="70" fillId="0" borderId="42" xfId="0" applyFont="1" applyBorder="1" applyAlignment="1" applyProtection="1">
      <alignment horizontal="center" vertical="center"/>
      <protection hidden="1"/>
    </xf>
    <xf numFmtId="0" fontId="172" fillId="0" borderId="20" xfId="0" applyFont="1" applyBorder="1" applyAlignment="1" applyProtection="1">
      <alignment horizontal="center" vertical="center"/>
      <protection hidden="1"/>
    </xf>
    <xf numFmtId="0" fontId="172" fillId="0" borderId="164" xfId="0" applyFont="1" applyBorder="1" applyAlignment="1" applyProtection="1">
      <alignment horizontal="center" vertical="center"/>
      <protection hidden="1"/>
    </xf>
    <xf numFmtId="0" fontId="78" fillId="0" borderId="40" xfId="0" applyFont="1" applyBorder="1" applyAlignment="1" applyProtection="1">
      <alignment horizontal="left" vertical="center" shrinkToFit="1"/>
      <protection hidden="1"/>
    </xf>
    <xf numFmtId="0" fontId="78" fillId="0" borderId="0" xfId="0" applyFont="1" applyBorder="1" applyAlignment="1" applyProtection="1">
      <alignment horizontal="left" vertical="center" shrinkToFit="1"/>
      <protection hidden="1"/>
    </xf>
    <xf numFmtId="0" fontId="78" fillId="0" borderId="49" xfId="0" applyFont="1" applyBorder="1" applyAlignment="1" applyProtection="1">
      <alignment horizontal="left" vertical="center" shrinkToFit="1"/>
      <protection hidden="1"/>
    </xf>
    <xf numFmtId="0" fontId="152" fillId="0" borderId="41" xfId="0" applyFont="1" applyBorder="1" applyAlignment="1" applyProtection="1">
      <alignment horizontal="center" vertical="center"/>
      <protection hidden="1"/>
    </xf>
    <xf numFmtId="0" fontId="152" fillId="0" borderId="0" xfId="0" applyFont="1" applyBorder="1" applyAlignment="1" applyProtection="1">
      <alignment horizontal="center" vertical="center"/>
      <protection hidden="1"/>
    </xf>
    <xf numFmtId="0" fontId="77" fillId="0" borderId="38" xfId="0" applyFont="1" applyBorder="1" applyAlignment="1" applyProtection="1">
      <alignment horizontal="center" vertical="center"/>
      <protection hidden="1"/>
    </xf>
    <xf numFmtId="0" fontId="77" fillId="0" borderId="54" xfId="0" applyFont="1" applyBorder="1" applyAlignment="1" applyProtection="1">
      <alignment horizontal="center" vertical="center"/>
      <protection hidden="1"/>
    </xf>
    <xf numFmtId="0" fontId="77" fillId="0" borderId="155" xfId="0" applyFont="1" applyBorder="1" applyAlignment="1" applyProtection="1">
      <alignment horizontal="center" vertical="center"/>
      <protection hidden="1"/>
    </xf>
    <xf numFmtId="0" fontId="153" fillId="0" borderId="0" xfId="0" applyFont="1" applyBorder="1" applyAlignment="1" applyProtection="1">
      <alignment horizontal="center" vertical="center"/>
      <protection hidden="1"/>
    </xf>
    <xf numFmtId="0" fontId="77" fillId="0" borderId="20" xfId="0" applyNumberFormat="1" applyFont="1" applyBorder="1" applyAlignment="1" applyProtection="1">
      <alignment horizontal="center" vertical="center"/>
      <protection hidden="1"/>
    </xf>
    <xf numFmtId="0" fontId="77" fillId="0" borderId="165" xfId="0" applyFont="1" applyBorder="1" applyAlignment="1" applyProtection="1">
      <alignment horizontal="center" vertical="center"/>
      <protection hidden="1"/>
    </xf>
    <xf numFmtId="0" fontId="70" fillId="0" borderId="166" xfId="0" applyFont="1" applyBorder="1" applyAlignment="1" applyProtection="1">
      <alignment horizontal="center" vertical="center" wrapText="1"/>
      <protection hidden="1"/>
    </xf>
    <xf numFmtId="0" fontId="70" fillId="0" borderId="167" xfId="0" applyFont="1" applyBorder="1" applyAlignment="1" applyProtection="1">
      <alignment horizontal="center" vertical="center"/>
      <protection hidden="1"/>
    </xf>
    <xf numFmtId="0" fontId="70" fillId="0" borderId="168" xfId="0" applyFont="1" applyBorder="1" applyAlignment="1" applyProtection="1">
      <alignment horizontal="center" vertical="center"/>
      <protection hidden="1"/>
    </xf>
    <xf numFmtId="0" fontId="74" fillId="0" borderId="64" xfId="0" applyFont="1" applyBorder="1" applyAlignment="1" applyProtection="1">
      <alignment horizontal="center" vertical="center" wrapText="1"/>
      <protection hidden="1"/>
    </xf>
    <xf numFmtId="0" fontId="74" fillId="0" borderId="12" xfId="0" applyFont="1" applyBorder="1" applyAlignment="1" applyProtection="1">
      <alignment horizontal="center" vertical="center" wrapText="1"/>
      <protection hidden="1"/>
    </xf>
    <xf numFmtId="0" fontId="74" fillId="0" borderId="169" xfId="0" applyFont="1" applyBorder="1" applyAlignment="1" applyProtection="1">
      <alignment horizontal="center" vertical="center" wrapText="1"/>
      <protection hidden="1"/>
    </xf>
    <xf numFmtId="0" fontId="41" fillId="0" borderId="40"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41" fillId="0" borderId="49" xfId="0" applyFont="1" applyBorder="1" applyAlignment="1" applyProtection="1">
      <alignment horizontal="left" vertical="center" shrinkToFit="1"/>
      <protection hidden="1"/>
    </xf>
    <xf numFmtId="0" fontId="89" fillId="0" borderId="0" xfId="0" applyFont="1" applyBorder="1" applyAlignment="1" applyProtection="1">
      <alignment horizontal="center" vertical="top" wrapText="1" shrinkToFit="1"/>
      <protection hidden="1"/>
    </xf>
    <xf numFmtId="0" fontId="89" fillId="0" borderId="42" xfId="0" applyFont="1" applyBorder="1" applyAlignment="1" applyProtection="1">
      <alignment horizontal="center" vertical="top" wrapText="1" shrinkToFit="1"/>
      <protection hidden="1"/>
    </xf>
    <xf numFmtId="2" fontId="77" fillId="0" borderId="162" xfId="0" applyNumberFormat="1" applyFont="1" applyBorder="1" applyAlignment="1" applyProtection="1">
      <alignment horizontal="right" vertical="center"/>
      <protection hidden="1"/>
    </xf>
    <xf numFmtId="2" fontId="77" fillId="0" borderId="165" xfId="0" applyNumberFormat="1" applyFont="1" applyBorder="1" applyAlignment="1" applyProtection="1">
      <alignment horizontal="right" vertical="center"/>
      <protection hidden="1"/>
    </xf>
    <xf numFmtId="0" fontId="78" fillId="0" borderId="40" xfId="0" applyFont="1" applyBorder="1" applyAlignment="1" applyProtection="1">
      <alignment horizontal="center" vertical="center" shrinkToFit="1"/>
      <protection hidden="1"/>
    </xf>
    <xf numFmtId="2" fontId="77" fillId="0" borderId="0" xfId="0" applyNumberFormat="1" applyFont="1" applyBorder="1" applyAlignment="1" applyProtection="1">
      <alignment horizontal="center" textRotation="90"/>
      <protection hidden="1"/>
    </xf>
    <xf numFmtId="0" fontId="77" fillId="0" borderId="0" xfId="0" applyFont="1" applyBorder="1" applyAlignment="1" applyProtection="1">
      <alignment horizontal="center" textRotation="90"/>
      <protection hidden="1"/>
    </xf>
    <xf numFmtId="2" fontId="77" fillId="0" borderId="54" xfId="0" applyNumberFormat="1" applyFont="1" applyBorder="1" applyAlignment="1" applyProtection="1">
      <alignment horizontal="right" vertical="center"/>
      <protection hidden="1"/>
    </xf>
    <xf numFmtId="2" fontId="77" fillId="0" borderId="170" xfId="0" applyNumberFormat="1" applyFont="1" applyBorder="1" applyAlignment="1" applyProtection="1">
      <alignment horizontal="right" vertical="center"/>
      <protection hidden="1"/>
    </xf>
    <xf numFmtId="0" fontId="151" fillId="0" borderId="44" xfId="0" applyFont="1" applyBorder="1" applyAlignment="1" applyProtection="1">
      <alignment horizontal="left" vertical="center"/>
      <protection hidden="1"/>
    </xf>
    <xf numFmtId="0" fontId="70" fillId="0" borderId="49" xfId="0" applyFont="1" applyBorder="1" applyAlignment="1" applyProtection="1">
      <alignment horizontal="center" vertical="center" wrapText="1"/>
      <protection hidden="1"/>
    </xf>
    <xf numFmtId="0" fontId="70" fillId="0" borderId="52" xfId="0" applyFont="1" applyBorder="1" applyAlignment="1" applyProtection="1">
      <alignment horizontal="center" vertical="center" wrapText="1"/>
      <protection hidden="1"/>
    </xf>
    <xf numFmtId="0" fontId="70" fillId="0" borderId="44" xfId="0" applyFont="1" applyBorder="1" applyAlignment="1" applyProtection="1">
      <alignment horizontal="center" vertical="center" wrapText="1"/>
      <protection hidden="1"/>
    </xf>
    <xf numFmtId="0" fontId="70" fillId="0" borderId="53" xfId="0" applyFont="1" applyBorder="1" applyAlignment="1" applyProtection="1">
      <alignment horizontal="center" vertical="center" wrapText="1"/>
      <protection hidden="1"/>
    </xf>
    <xf numFmtId="0" fontId="70" fillId="0" borderId="0" xfId="0" applyFont="1" applyBorder="1" applyAlignment="1" applyProtection="1">
      <alignment horizontal="center" textRotation="90"/>
      <protection hidden="1"/>
    </xf>
    <xf numFmtId="0" fontId="151" fillId="0" borderId="171" xfId="0" applyFont="1" applyBorder="1" applyAlignment="1" applyProtection="1">
      <alignment horizontal="center" vertical="center"/>
      <protection hidden="1"/>
    </xf>
    <xf numFmtId="0" fontId="151" fillId="0" borderId="12" xfId="0" applyFont="1" applyBorder="1" applyAlignment="1" applyProtection="1">
      <alignment horizontal="center" vertical="center"/>
      <protection hidden="1"/>
    </xf>
    <xf numFmtId="0" fontId="151" fillId="0" borderId="169" xfId="0" applyFont="1" applyBorder="1" applyAlignment="1" applyProtection="1">
      <alignment horizontal="center" vertical="center"/>
      <protection hidden="1"/>
    </xf>
    <xf numFmtId="0" fontId="151" fillId="0" borderId="40" xfId="0" applyFont="1" applyBorder="1" applyAlignment="1" applyProtection="1">
      <alignment horizontal="center" vertical="center"/>
      <protection hidden="1"/>
    </xf>
    <xf numFmtId="0" fontId="151" fillId="0" borderId="0" xfId="0" applyFont="1" applyBorder="1" applyAlignment="1" applyProtection="1" quotePrefix="1">
      <alignment horizontal="center" vertical="center"/>
      <protection hidden="1"/>
    </xf>
    <xf numFmtId="0" fontId="151" fillId="0" borderId="42" xfId="0" applyFont="1" applyBorder="1" applyAlignment="1" applyProtection="1" quotePrefix="1">
      <alignment horizontal="center" vertical="center"/>
      <protection hidden="1"/>
    </xf>
    <xf numFmtId="2" fontId="77" fillId="0" borderId="172" xfId="0" applyNumberFormat="1" applyFont="1" applyBorder="1" applyAlignment="1" applyProtection="1">
      <alignment horizontal="right" vertical="center"/>
      <protection hidden="1"/>
    </xf>
    <xf numFmtId="2" fontId="77" fillId="0" borderId="173" xfId="0" applyNumberFormat="1" applyFont="1" applyBorder="1" applyAlignment="1" applyProtection="1">
      <alignment horizontal="right" vertical="center"/>
      <protection hidden="1"/>
    </xf>
    <xf numFmtId="2" fontId="77" fillId="0" borderId="42" xfId="0" applyNumberFormat="1" applyFont="1" applyBorder="1" applyAlignment="1" applyProtection="1">
      <alignment horizontal="right" vertical="center"/>
      <protection hidden="1"/>
    </xf>
    <xf numFmtId="0" fontId="153" fillId="0" borderId="41" xfId="0" applyFont="1" applyBorder="1" applyAlignment="1" applyProtection="1">
      <alignment horizontal="left" vertical="center" wrapText="1"/>
      <protection hidden="1"/>
    </xf>
    <xf numFmtId="0" fontId="77" fillId="0" borderId="0" xfId="0" applyFont="1" applyBorder="1" applyAlignment="1" applyProtection="1">
      <alignment horizontal="center" vertical="center"/>
      <protection hidden="1"/>
    </xf>
    <xf numFmtId="0" fontId="77" fillId="0" borderId="49" xfId="0" applyFont="1" applyBorder="1" applyAlignment="1" applyProtection="1">
      <alignment horizontal="center" vertical="center"/>
      <protection hidden="1"/>
    </xf>
    <xf numFmtId="0" fontId="41" fillId="0" borderId="174" xfId="0" applyFont="1" applyFill="1" applyBorder="1" applyAlignment="1" applyProtection="1">
      <alignment horizontal="center" vertical="center"/>
      <protection hidden="1"/>
    </xf>
    <xf numFmtId="0" fontId="41" fillId="0" borderId="47" xfId="0" applyFont="1" applyFill="1" applyBorder="1" applyAlignment="1" applyProtection="1">
      <alignment horizontal="center" vertical="center"/>
      <protection hidden="1"/>
    </xf>
    <xf numFmtId="0" fontId="41" fillId="0" borderId="175" xfId="0" applyFont="1" applyFill="1" applyBorder="1" applyAlignment="1" applyProtection="1">
      <alignment horizontal="center" vertical="center"/>
      <protection hidden="1"/>
    </xf>
    <xf numFmtId="0" fontId="155" fillId="0" borderId="0" xfId="0" applyFont="1" applyFill="1" applyBorder="1" applyAlignment="1" applyProtection="1">
      <alignment horizontal="center" vertical="center"/>
      <protection hidden="1"/>
    </xf>
    <xf numFmtId="2" fontId="149" fillId="0" borderId="0" xfId="0" applyNumberFormat="1" applyFont="1" applyFill="1" applyBorder="1" applyAlignment="1" applyProtection="1">
      <alignment horizontal="left" vertical="center"/>
      <protection hidden="1"/>
    </xf>
    <xf numFmtId="0" fontId="155" fillId="0" borderId="0" xfId="0" applyFont="1" applyFill="1" applyBorder="1" applyAlignment="1" applyProtection="1">
      <alignment horizontal="left" vertical="center" wrapText="1"/>
      <protection hidden="1"/>
    </xf>
    <xf numFmtId="0" fontId="155" fillId="0" borderId="11" xfId="0" applyFont="1" applyFill="1" applyBorder="1" applyAlignment="1" applyProtection="1">
      <alignment horizontal="left" vertical="center" wrapText="1"/>
      <protection hidden="1"/>
    </xf>
    <xf numFmtId="0" fontId="155" fillId="0" borderId="11" xfId="0" applyFont="1" applyFill="1" applyBorder="1" applyAlignment="1" applyProtection="1">
      <alignment horizontal="center" vertical="center"/>
      <protection hidden="1"/>
    </xf>
    <xf numFmtId="0" fontId="155" fillId="0" borderId="0" xfId="0" applyFont="1" applyBorder="1" applyAlignment="1" applyProtection="1">
      <alignment horizontal="left"/>
      <protection hidden="1"/>
    </xf>
    <xf numFmtId="0" fontId="16" fillId="0" borderId="23" xfId="0" applyFont="1" applyFill="1" applyBorder="1" applyAlignment="1" applyProtection="1">
      <alignment horizontal="center" vertical="top"/>
      <protection hidden="1"/>
    </xf>
    <xf numFmtId="0" fontId="16" fillId="0" borderId="24" xfId="0" applyFont="1" applyFill="1" applyBorder="1" applyAlignment="1" applyProtection="1">
      <alignment horizontal="center" vertical="top"/>
      <protection hidden="1"/>
    </xf>
    <xf numFmtId="0" fontId="16" fillId="0" borderId="25" xfId="0" applyFont="1" applyFill="1" applyBorder="1" applyAlignment="1" applyProtection="1">
      <alignment horizontal="center" vertical="top"/>
      <protection hidden="1"/>
    </xf>
    <xf numFmtId="0" fontId="41" fillId="0" borderId="0" xfId="0" applyFont="1" applyBorder="1" applyAlignment="1" applyProtection="1">
      <alignment horizontal="left" vertical="center" wrapText="1"/>
      <protection hidden="1"/>
    </xf>
    <xf numFmtId="0" fontId="41" fillId="0" borderId="11" xfId="0" applyFont="1" applyBorder="1" applyAlignment="1" applyProtection="1">
      <alignment horizontal="left" vertical="center" wrapText="1"/>
      <protection hidden="1"/>
    </xf>
    <xf numFmtId="0" fontId="155" fillId="0" borderId="63" xfId="0" applyFont="1" applyFill="1" applyBorder="1" applyAlignment="1" applyProtection="1">
      <alignment horizontal="center" vertical="center"/>
      <protection hidden="1"/>
    </xf>
    <xf numFmtId="0" fontId="155" fillId="0" borderId="176" xfId="0" applyFont="1" applyFill="1" applyBorder="1" applyAlignment="1" applyProtection="1">
      <alignment horizontal="center" vertical="center"/>
      <protection hidden="1"/>
    </xf>
    <xf numFmtId="0" fontId="41" fillId="0" borderId="10" xfId="0" applyFont="1" applyFill="1" applyBorder="1" applyAlignment="1" applyProtection="1">
      <alignment horizontal="center" vertical="center"/>
      <protection hidden="1"/>
    </xf>
    <xf numFmtId="0" fontId="41" fillId="0" borderId="0" xfId="0" applyFont="1" applyFill="1" applyBorder="1" applyAlignment="1" applyProtection="1">
      <alignment horizontal="center" vertical="center"/>
      <protection hidden="1"/>
    </xf>
    <xf numFmtId="0" fontId="41" fillId="0" borderId="11" xfId="0" applyFont="1" applyFill="1" applyBorder="1" applyAlignment="1" applyProtection="1">
      <alignment horizontal="center" vertical="center"/>
      <protection hidden="1"/>
    </xf>
    <xf numFmtId="0" fontId="151" fillId="0" borderId="0" xfId="0" applyFont="1" applyBorder="1" applyAlignment="1" applyProtection="1">
      <alignment horizontal="center"/>
      <protection hidden="1"/>
    </xf>
    <xf numFmtId="0" fontId="151" fillId="0" borderId="11" xfId="0" applyFont="1" applyBorder="1" applyAlignment="1" applyProtection="1">
      <alignment horizontal="center"/>
      <protection hidden="1"/>
    </xf>
    <xf numFmtId="0" fontId="70" fillId="0" borderId="44" xfId="0" applyFont="1" applyBorder="1" applyAlignment="1" applyProtection="1">
      <alignment horizontal="center"/>
      <protection hidden="1"/>
    </xf>
    <xf numFmtId="2" fontId="70" fillId="0" borderId="44" xfId="0" applyNumberFormat="1" applyFont="1" applyBorder="1" applyAlignment="1" applyProtection="1">
      <alignment horizontal="center"/>
      <protection hidden="1"/>
    </xf>
    <xf numFmtId="2" fontId="70" fillId="0" borderId="44" xfId="0" applyNumberFormat="1" applyFont="1" applyBorder="1" applyAlignment="1" applyProtection="1" quotePrefix="1">
      <alignment horizontal="center"/>
      <protection hidden="1"/>
    </xf>
    <xf numFmtId="0" fontId="172" fillId="0" borderId="44" xfId="0" applyFont="1" applyBorder="1" applyAlignment="1" applyProtection="1">
      <alignment horizontal="center"/>
      <protection hidden="1"/>
    </xf>
    <xf numFmtId="0" fontId="78" fillId="0" borderId="11" xfId="0" applyFont="1" applyBorder="1" applyAlignment="1" applyProtection="1">
      <alignment horizontal="center" vertical="center"/>
      <protection hidden="1"/>
    </xf>
    <xf numFmtId="0" fontId="70" fillId="0" borderId="44" xfId="0" applyFont="1" applyBorder="1" applyAlignment="1" applyProtection="1">
      <alignment horizontal="center" vertical="center"/>
      <protection hidden="1"/>
    </xf>
    <xf numFmtId="0" fontId="90" fillId="0" borderId="44" xfId="0" applyFont="1" applyBorder="1" applyAlignment="1" applyProtection="1">
      <alignment horizontal="center" vertical="center"/>
      <protection hidden="1"/>
    </xf>
    <xf numFmtId="0" fontId="90" fillId="0" borderId="0" xfId="0" applyFont="1" applyBorder="1" applyAlignment="1" applyProtection="1">
      <alignment horizontal="center" vertical="center"/>
      <protection hidden="1"/>
    </xf>
    <xf numFmtId="0" fontId="151" fillId="0" borderId="12" xfId="0" applyFont="1" applyBorder="1" applyAlignment="1" applyProtection="1">
      <alignment horizontal="center"/>
      <protection hidden="1"/>
    </xf>
    <xf numFmtId="0" fontId="89" fillId="0" borderId="0" xfId="0" applyFont="1" applyBorder="1" applyAlignment="1" applyProtection="1">
      <alignment horizontal="center" vertical="center"/>
      <protection hidden="1"/>
    </xf>
    <xf numFmtId="0" fontId="70" fillId="0" borderId="38" xfId="0" applyFont="1" applyBorder="1" applyAlignment="1" applyProtection="1">
      <alignment horizontal="center"/>
      <protection hidden="1"/>
    </xf>
    <xf numFmtId="0" fontId="70" fillId="0" borderId="54" xfId="0" applyFont="1" applyBorder="1" applyAlignment="1" applyProtection="1">
      <alignment horizontal="center"/>
      <protection hidden="1"/>
    </xf>
    <xf numFmtId="0" fontId="70" fillId="0" borderId="155" xfId="0" applyFont="1" applyBorder="1" applyAlignment="1" applyProtection="1">
      <alignment horizontal="center"/>
      <protection hidden="1"/>
    </xf>
    <xf numFmtId="0" fontId="105" fillId="0" borderId="24" xfId="0" applyFont="1" applyBorder="1" applyAlignment="1" applyProtection="1">
      <alignment horizontal="center" vertical="center"/>
      <protection hidden="1"/>
    </xf>
    <xf numFmtId="0" fontId="105" fillId="0" borderId="25" xfId="0" applyFont="1" applyBorder="1" applyAlignment="1" applyProtection="1">
      <alignment horizontal="center" vertical="center"/>
      <protection hidden="1"/>
    </xf>
    <xf numFmtId="0" fontId="112" fillId="0" borderId="38" xfId="0" applyFont="1" applyBorder="1" applyAlignment="1" applyProtection="1">
      <alignment horizontal="center" vertical="center"/>
      <protection hidden="1"/>
    </xf>
    <xf numFmtId="0" fontId="112" fillId="0" borderId="54" xfId="0" applyFont="1" applyBorder="1" applyAlignment="1" applyProtection="1">
      <alignment horizontal="center" vertical="center"/>
      <protection hidden="1"/>
    </xf>
    <xf numFmtId="0" fontId="112" fillId="0" borderId="155" xfId="0" applyFont="1" applyBorder="1" applyAlignment="1" applyProtection="1">
      <alignment horizontal="center" vertical="center"/>
      <protection hidden="1"/>
    </xf>
    <xf numFmtId="0" fontId="89" fillId="0" borderId="11" xfId="0" applyFont="1" applyBorder="1" applyAlignment="1" applyProtection="1">
      <alignment horizontal="center" vertical="center"/>
      <protection hidden="1"/>
    </xf>
    <xf numFmtId="0" fontId="151" fillId="0" borderId="65" xfId="0" applyFont="1" applyBorder="1" applyAlignment="1" applyProtection="1">
      <alignment horizontal="center"/>
      <protection hidden="1"/>
    </xf>
    <xf numFmtId="0" fontId="151" fillId="0" borderId="44" xfId="0" applyFont="1" applyBorder="1" applyAlignment="1" applyProtection="1">
      <alignment horizontal="center"/>
      <protection hidden="1"/>
    </xf>
    <xf numFmtId="0" fontId="151" fillId="0" borderId="53" xfId="0" applyFont="1" applyBorder="1" applyAlignment="1" applyProtection="1">
      <alignment horizontal="center"/>
      <protection hidden="1"/>
    </xf>
    <xf numFmtId="0" fontId="77" fillId="0" borderId="38" xfId="0" applyFont="1" applyBorder="1" applyAlignment="1" applyProtection="1">
      <alignment horizontal="center" vertical="center" wrapText="1"/>
      <protection hidden="1"/>
    </xf>
    <xf numFmtId="0" fontId="77" fillId="0" borderId="54" xfId="0" applyFont="1" applyBorder="1" applyAlignment="1" applyProtection="1">
      <alignment horizontal="center" vertical="center" wrapText="1"/>
      <protection hidden="1"/>
    </xf>
    <xf numFmtId="0" fontId="77" fillId="0" borderId="155" xfId="0" applyFont="1" applyBorder="1" applyAlignment="1" applyProtection="1">
      <alignment horizontal="center" vertical="center" wrapText="1"/>
      <protection hidden="1"/>
    </xf>
    <xf numFmtId="0" fontId="88" fillId="0" borderId="23" xfId="0" applyFont="1" applyBorder="1" applyAlignment="1" applyProtection="1">
      <alignment horizontal="center" vertical="center"/>
      <protection hidden="1"/>
    </xf>
    <xf numFmtId="0" fontId="88" fillId="0" borderId="24" xfId="0" applyFont="1" applyBorder="1" applyAlignment="1" applyProtection="1">
      <alignment horizontal="center" vertical="center"/>
      <protection hidden="1"/>
    </xf>
    <xf numFmtId="0" fontId="88" fillId="0" borderId="25" xfId="0" applyFont="1" applyBorder="1" applyAlignment="1" applyProtection="1">
      <alignment horizontal="center" vertical="center"/>
      <protection hidden="1"/>
    </xf>
    <xf numFmtId="0" fontId="70" fillId="0" borderId="38" xfId="0" applyFont="1" applyFill="1" applyBorder="1" applyAlignment="1" applyProtection="1">
      <alignment horizontal="center" vertical="center"/>
      <protection hidden="1"/>
    </xf>
    <xf numFmtId="0" fontId="70" fillId="0" borderId="54" xfId="0" applyFont="1" applyFill="1" applyBorder="1" applyAlignment="1" applyProtection="1">
      <alignment horizontal="center" vertical="center"/>
      <protection hidden="1"/>
    </xf>
    <xf numFmtId="0" fontId="70" fillId="0" borderId="155" xfId="0" applyFont="1" applyFill="1" applyBorder="1" applyAlignment="1" applyProtection="1">
      <alignment horizontal="center" vertical="center"/>
      <protection hidden="1"/>
    </xf>
    <xf numFmtId="0" fontId="172" fillId="0" borderId="38" xfId="0" applyFont="1" applyBorder="1" applyAlignment="1" applyProtection="1">
      <alignment horizontal="center" vertical="center"/>
      <protection hidden="1"/>
    </xf>
    <xf numFmtId="0" fontId="172" fillId="0" borderId="54" xfId="0" applyFont="1" applyBorder="1" applyAlignment="1" applyProtection="1">
      <alignment horizontal="center" vertical="center"/>
      <protection hidden="1"/>
    </xf>
    <xf numFmtId="0" fontId="172" fillId="0" borderId="155" xfId="0" applyFont="1" applyBorder="1" applyAlignment="1" applyProtection="1">
      <alignment horizontal="center" vertical="center"/>
      <protection hidden="1"/>
    </xf>
    <xf numFmtId="0" fontId="173" fillId="0" borderId="10" xfId="0" applyFont="1" applyBorder="1" applyAlignment="1" applyProtection="1">
      <alignment horizontal="left"/>
      <protection hidden="1"/>
    </xf>
    <xf numFmtId="0" fontId="173" fillId="0" borderId="0" xfId="0" applyFont="1" applyBorder="1" applyAlignment="1" applyProtection="1">
      <alignment horizontal="left"/>
      <protection hidden="1"/>
    </xf>
    <xf numFmtId="0" fontId="82" fillId="0" borderId="0" xfId="0" applyFont="1" applyBorder="1" applyAlignment="1" applyProtection="1">
      <alignment horizontal="center" vertical="center" wrapText="1"/>
      <protection hidden="1"/>
    </xf>
    <xf numFmtId="0" fontId="151" fillId="0" borderId="41" xfId="0" applyFont="1" applyBorder="1" applyAlignment="1" applyProtection="1">
      <alignment horizontal="center"/>
      <protection hidden="1"/>
    </xf>
    <xf numFmtId="0" fontId="172" fillId="0" borderId="38" xfId="0" applyFont="1" applyBorder="1" applyAlignment="1" applyProtection="1">
      <alignment horizontal="center"/>
      <protection hidden="1"/>
    </xf>
    <xf numFmtId="0" fontId="172" fillId="0" borderId="54" xfId="0" applyFont="1" applyBorder="1" applyAlignment="1" applyProtection="1">
      <alignment horizontal="center"/>
      <protection hidden="1"/>
    </xf>
    <xf numFmtId="0" fontId="172" fillId="0" borderId="155" xfId="0" applyFont="1" applyBorder="1" applyAlignment="1" applyProtection="1">
      <alignment horizontal="center"/>
      <protection hidden="1"/>
    </xf>
    <xf numFmtId="0" fontId="155" fillId="0" borderId="41" xfId="0" applyFont="1" applyBorder="1" applyAlignment="1" applyProtection="1">
      <alignment horizontal="center"/>
      <protection hidden="1"/>
    </xf>
    <xf numFmtId="0" fontId="155" fillId="0" borderId="0" xfId="0" applyFont="1" applyBorder="1" applyAlignment="1" applyProtection="1">
      <alignment horizontal="center"/>
      <protection hidden="1"/>
    </xf>
    <xf numFmtId="0" fontId="70" fillId="0" borderId="44" xfId="0" applyFont="1" applyBorder="1" applyAlignment="1" applyProtection="1">
      <alignment horizontal="left"/>
      <protection hidden="1"/>
    </xf>
    <xf numFmtId="0" fontId="90" fillId="0" borderId="44" xfId="0" applyFont="1" applyBorder="1" applyAlignment="1" applyProtection="1">
      <alignment horizontal="left" vertical="center"/>
      <protection hidden="1"/>
    </xf>
    <xf numFmtId="2" fontId="77" fillId="0" borderId="44" xfId="0" applyNumberFormat="1" applyFont="1" applyBorder="1" applyAlignment="1" applyProtection="1">
      <alignment horizontal="center" vertical="center"/>
      <protection hidden="1"/>
    </xf>
    <xf numFmtId="2" fontId="77" fillId="0" borderId="66" xfId="0" applyNumberFormat="1" applyFont="1" applyBorder="1" applyAlignment="1" applyProtection="1">
      <alignment horizontal="center" vertical="center"/>
      <protection hidden="1"/>
    </xf>
    <xf numFmtId="0" fontId="4" fillId="0" borderId="177" xfId="59" applyFont="1" applyBorder="1" applyAlignment="1" applyProtection="1">
      <alignment horizontal="center" vertical="center" wrapText="1"/>
      <protection hidden="1"/>
    </xf>
    <xf numFmtId="0" fontId="8" fillId="0" borderId="88" xfId="59" applyFont="1" applyBorder="1" applyAlignment="1" applyProtection="1">
      <alignment horizontal="center" vertical="center" wrapText="1"/>
      <protection hidden="1"/>
    </xf>
    <xf numFmtId="0" fontId="8" fillId="0" borderId="178" xfId="59" applyFont="1" applyBorder="1" applyAlignment="1" applyProtection="1">
      <alignment horizontal="center" vertical="center" wrapText="1"/>
      <protection hidden="1"/>
    </xf>
    <xf numFmtId="0" fontId="8" fillId="0" borderId="179" xfId="59" applyFont="1" applyBorder="1" applyAlignment="1" applyProtection="1">
      <alignment horizontal="center" vertical="center" wrapText="1"/>
      <protection hidden="1"/>
    </xf>
    <xf numFmtId="0" fontId="4" fillId="0" borderId="87" xfId="59" applyFont="1" applyBorder="1" applyAlignment="1" applyProtection="1">
      <alignment horizontal="left" vertical="center" wrapText="1"/>
      <protection hidden="1"/>
    </xf>
    <xf numFmtId="1" fontId="4" fillId="0" borderId="180" xfId="59" applyNumberFormat="1" applyFont="1" applyBorder="1" applyAlignment="1" applyProtection="1">
      <alignment horizontal="center" vertical="center"/>
      <protection hidden="1"/>
    </xf>
    <xf numFmtId="1" fontId="4" fillId="0" borderId="0" xfId="59" applyNumberFormat="1" applyFont="1" applyBorder="1" applyAlignment="1" applyProtection="1">
      <alignment horizontal="left" vertical="center" wrapText="1"/>
      <protection hidden="1"/>
    </xf>
    <xf numFmtId="0" fontId="4" fillId="0" borderId="0" xfId="59" applyFont="1" applyBorder="1" applyAlignment="1" applyProtection="1">
      <alignment horizontal="center" vertical="center"/>
      <protection hidden="1"/>
    </xf>
    <xf numFmtId="1" fontId="11" fillId="0" borderId="181" xfId="59" applyNumberFormat="1" applyFont="1" applyBorder="1" applyAlignment="1" applyProtection="1">
      <alignment horizontal="center" vertical="center"/>
      <protection hidden="1"/>
    </xf>
    <xf numFmtId="0" fontId="11" fillId="0" borderId="182" xfId="59" applyFont="1" applyBorder="1" applyAlignment="1" applyProtection="1">
      <alignment horizontal="center" vertical="center"/>
      <protection hidden="1"/>
    </xf>
    <xf numFmtId="0" fontId="11" fillId="0" borderId="183" xfId="59" applyFont="1" applyBorder="1" applyAlignment="1" applyProtection="1">
      <alignment horizontal="center" vertical="center"/>
      <protection hidden="1"/>
    </xf>
    <xf numFmtId="0" fontId="11" fillId="0" borderId="184" xfId="59" applyFont="1" applyBorder="1" applyAlignment="1" applyProtection="1">
      <alignment horizontal="center" vertical="center"/>
      <protection hidden="1"/>
    </xf>
    <xf numFmtId="0" fontId="4" fillId="0" borderId="0" xfId="59" applyFont="1" applyBorder="1" applyAlignment="1" applyProtection="1">
      <alignment horizontal="left" vertical="center"/>
      <protection hidden="1"/>
    </xf>
    <xf numFmtId="0" fontId="4" fillId="0" borderId="0" xfId="59" applyFont="1" applyBorder="1" applyAlignment="1" applyProtection="1">
      <alignment horizontal="left" shrinkToFit="1"/>
      <protection hidden="1" locked="0"/>
    </xf>
    <xf numFmtId="0" fontId="6" fillId="0" borderId="0" xfId="59" applyFont="1" applyBorder="1" applyAlignment="1" applyProtection="1">
      <alignment horizontal="left" vertical="center" wrapText="1"/>
      <protection hidden="1"/>
    </xf>
    <xf numFmtId="0" fontId="4" fillId="0" borderId="0" xfId="59" applyFont="1" applyBorder="1" applyAlignment="1" applyProtection="1">
      <alignment horizontal="left"/>
      <protection hidden="1" locked="0"/>
    </xf>
    <xf numFmtId="0" fontId="4" fillId="0" borderId="185" xfId="59" applyFont="1" applyBorder="1" applyAlignment="1" applyProtection="1">
      <alignment horizontal="center" vertical="center"/>
      <protection hidden="1"/>
    </xf>
    <xf numFmtId="0" fontId="4" fillId="0" borderId="17" xfId="59" applyFont="1" applyBorder="1" applyAlignment="1" applyProtection="1">
      <alignment horizontal="center" vertical="center"/>
      <protection hidden="1"/>
    </xf>
    <xf numFmtId="0" fontId="21" fillId="0" borderId="0" xfId="59" applyFont="1" applyBorder="1" applyAlignment="1" applyProtection="1">
      <alignment horizontal="center"/>
      <protection hidden="1"/>
    </xf>
    <xf numFmtId="1" fontId="8" fillId="0" borderId="186" xfId="59" applyNumberFormat="1" applyFont="1" applyBorder="1" applyAlignment="1" applyProtection="1">
      <alignment horizontal="center" vertical="center"/>
      <protection hidden="1"/>
    </xf>
    <xf numFmtId="1" fontId="8" fillId="0" borderId="187" xfId="59" applyNumberFormat="1" applyFont="1" applyBorder="1" applyAlignment="1" applyProtection="1">
      <alignment horizontal="center" vertical="center"/>
      <protection hidden="1"/>
    </xf>
    <xf numFmtId="0" fontId="2" fillId="0" borderId="0" xfId="59" applyFont="1" applyBorder="1" applyAlignment="1" applyProtection="1">
      <alignment horizontal="center"/>
      <protection hidden="1"/>
    </xf>
    <xf numFmtId="0" fontId="20" fillId="0" borderId="0" xfId="59" applyFont="1" applyBorder="1" applyAlignment="1" applyProtection="1">
      <alignment horizontal="center" vertical="center"/>
      <protection hidden="1"/>
    </xf>
    <xf numFmtId="0" fontId="8" fillId="0" borderId="182" xfId="59" applyFont="1" applyBorder="1" applyAlignment="1" applyProtection="1">
      <alignment horizontal="center" vertical="center"/>
      <protection hidden="1"/>
    </xf>
    <xf numFmtId="0" fontId="8" fillId="0" borderId="183" xfId="59" applyFont="1" applyBorder="1" applyAlignment="1" applyProtection="1">
      <alignment horizontal="center" vertical="center"/>
      <protection hidden="1"/>
    </xf>
    <xf numFmtId="0" fontId="8" fillId="0" borderId="184" xfId="59" applyFont="1" applyBorder="1" applyAlignment="1" applyProtection="1">
      <alignment horizontal="center" vertical="center"/>
      <protection hidden="1"/>
    </xf>
    <xf numFmtId="0" fontId="4" fillId="0" borderId="17" xfId="59" applyFont="1" applyBorder="1" applyAlignment="1" applyProtection="1">
      <alignment horizontal="center" vertical="center" wrapText="1"/>
      <protection hidden="1"/>
    </xf>
    <xf numFmtId="0" fontId="4" fillId="0" borderId="188" xfId="59" applyFont="1" applyBorder="1" applyAlignment="1" applyProtection="1">
      <alignment horizontal="center" vertical="center"/>
      <protection hidden="1"/>
    </xf>
    <xf numFmtId="0" fontId="4" fillId="0" borderId="87" xfId="59" applyFont="1" applyBorder="1" applyAlignment="1" applyProtection="1">
      <alignment horizontal="center" vertical="center"/>
      <protection hidden="1"/>
    </xf>
    <xf numFmtId="0" fontId="4" fillId="0" borderId="189" xfId="59" applyFont="1" applyBorder="1" applyAlignment="1" applyProtection="1">
      <alignment horizontal="center" vertical="center" wrapText="1"/>
      <protection hidden="1"/>
    </xf>
    <xf numFmtId="0" fontId="4" fillId="0" borderId="86" xfId="59" applyFont="1" applyBorder="1" applyAlignment="1" applyProtection="1">
      <alignment horizontal="center" vertical="center" wrapText="1"/>
      <protection hidden="1"/>
    </xf>
    <xf numFmtId="1" fontId="4" fillId="0" borderId="190" xfId="59" applyNumberFormat="1" applyFont="1" applyBorder="1" applyAlignment="1" applyProtection="1">
      <alignment horizontal="center" vertical="center" wrapText="1"/>
      <protection hidden="1"/>
    </xf>
    <xf numFmtId="1" fontId="4" fillId="0" borderId="191" xfId="59" applyNumberFormat="1" applyFont="1" applyBorder="1" applyAlignment="1" applyProtection="1">
      <alignment horizontal="center" vertical="center" wrapText="1"/>
      <protection hidden="1"/>
    </xf>
    <xf numFmtId="1" fontId="4" fillId="0" borderId="192" xfId="59" applyNumberFormat="1" applyFont="1" applyBorder="1" applyAlignment="1" applyProtection="1">
      <alignment horizontal="center" vertical="center" wrapText="1"/>
      <protection hidden="1"/>
    </xf>
    <xf numFmtId="1" fontId="4" fillId="0" borderId="193" xfId="59" applyNumberFormat="1" applyFont="1" applyBorder="1" applyAlignment="1" applyProtection="1">
      <alignment horizontal="center" vertical="center" wrapText="1"/>
      <protection hidden="1"/>
    </xf>
    <xf numFmtId="1" fontId="4" fillId="0" borderId="194" xfId="59" applyNumberFormat="1" applyFont="1" applyBorder="1" applyAlignment="1" applyProtection="1">
      <alignment horizontal="center" vertical="center" wrapText="1"/>
      <protection hidden="1"/>
    </xf>
    <xf numFmtId="1" fontId="4" fillId="0" borderId="195" xfId="59" applyNumberFormat="1" applyFont="1" applyBorder="1" applyAlignment="1" applyProtection="1">
      <alignment horizontal="center" vertical="center" wrapText="1"/>
      <protection hidden="1"/>
    </xf>
    <xf numFmtId="1" fontId="4" fillId="0" borderId="190" xfId="59" applyNumberFormat="1" applyFont="1" applyBorder="1" applyAlignment="1" applyProtection="1">
      <alignment horizontal="center" vertical="center" shrinkToFit="1"/>
      <protection hidden="1"/>
    </xf>
    <xf numFmtId="1" fontId="4" fillId="0" borderId="196" xfId="59" applyNumberFormat="1" applyFont="1" applyBorder="1" applyAlignment="1" applyProtection="1">
      <alignment horizontal="center" vertical="center" shrinkToFit="1"/>
      <protection hidden="1"/>
    </xf>
    <xf numFmtId="1" fontId="4" fillId="0" borderId="193" xfId="59" applyNumberFormat="1" applyFont="1" applyBorder="1" applyAlignment="1" applyProtection="1">
      <alignment horizontal="center" vertical="center" shrinkToFit="1"/>
      <protection hidden="1"/>
    </xf>
    <xf numFmtId="1" fontId="4" fillId="0" borderId="197" xfId="59" applyNumberFormat="1" applyFont="1" applyBorder="1" applyAlignment="1" applyProtection="1">
      <alignment horizontal="center" vertical="center" shrinkToFit="1"/>
      <protection hidden="1"/>
    </xf>
    <xf numFmtId="0" fontId="6" fillId="0" borderId="198" xfId="59" applyFont="1" applyBorder="1" applyAlignment="1" applyProtection="1">
      <alignment horizontal="left" vertical="center" wrapText="1"/>
      <protection hidden="1"/>
    </xf>
    <xf numFmtId="0" fontId="7" fillId="0" borderId="0" xfId="59" applyFont="1" applyBorder="1" applyAlignment="1" applyProtection="1">
      <alignment horizontal="center"/>
      <protection hidden="1"/>
    </xf>
    <xf numFmtId="0" fontId="18" fillId="0" borderId="0" xfId="59" applyFont="1" applyBorder="1" applyAlignment="1" applyProtection="1">
      <alignment horizontal="center"/>
      <protection hidden="1"/>
    </xf>
    <xf numFmtId="178" fontId="8" fillId="0" borderId="0" xfId="59" applyNumberFormat="1" applyFont="1" applyBorder="1" applyAlignment="1" applyProtection="1">
      <alignment horizontal="center" vertical="center" shrinkToFit="1"/>
      <protection hidden="1"/>
    </xf>
    <xf numFmtId="0" fontId="4" fillId="0" borderId="0" xfId="59" applyNumberFormat="1" applyFont="1" applyBorder="1" applyAlignment="1" applyProtection="1">
      <alignment horizontal="left" vertical="center" shrinkToFit="1"/>
      <protection hidden="1"/>
    </xf>
    <xf numFmtId="0" fontId="11" fillId="0" borderId="0" xfId="59" applyFont="1" applyBorder="1" applyAlignment="1" applyProtection="1">
      <alignment horizontal="left" vertical="center" wrapText="1"/>
      <protection hidden="1"/>
    </xf>
    <xf numFmtId="182" fontId="14" fillId="0" borderId="0" xfId="59" applyNumberFormat="1" applyFont="1" applyBorder="1" applyAlignment="1" applyProtection="1">
      <alignment horizontal="right"/>
      <protection hidden="1"/>
    </xf>
    <xf numFmtId="185" fontId="14" fillId="0" borderId="0" xfId="59" applyNumberFormat="1" applyFont="1" applyBorder="1" applyAlignment="1" applyProtection="1">
      <alignment horizontal="left"/>
      <protection hidden="1"/>
    </xf>
    <xf numFmtId="185" fontId="14" fillId="0" borderId="0" xfId="59" applyNumberFormat="1" applyFont="1" applyBorder="1" applyAlignment="1" applyProtection="1">
      <alignment horizontal="right"/>
      <protection hidden="1"/>
    </xf>
    <xf numFmtId="0" fontId="29" fillId="0" borderId="20" xfId="59" applyFont="1" applyBorder="1" applyAlignment="1" applyProtection="1">
      <alignment horizontal="center" vertical="center"/>
      <protection hidden="1"/>
    </xf>
    <xf numFmtId="1" fontId="24" fillId="0" borderId="20" xfId="59" applyNumberFormat="1" applyFont="1" applyBorder="1" applyAlignment="1" applyProtection="1">
      <alignment horizontal="center" vertical="center"/>
      <protection hidden="1"/>
    </xf>
    <xf numFmtId="0" fontId="24" fillId="0" borderId="20" xfId="59" applyFont="1" applyBorder="1" applyAlignment="1" applyProtection="1">
      <alignment horizontal="center" vertical="center"/>
      <protection hidden="1"/>
    </xf>
    <xf numFmtId="0" fontId="25" fillId="0" borderId="0" xfId="59" applyFont="1" applyBorder="1" applyAlignment="1" applyProtection="1">
      <alignment horizontal="center" vertical="center" wrapText="1"/>
      <protection hidden="1"/>
    </xf>
    <xf numFmtId="0" fontId="7" fillId="0" borderId="10" xfId="59" applyFont="1" applyBorder="1" applyAlignment="1" applyProtection="1">
      <alignment horizontal="center" vertical="top" wrapText="1"/>
      <protection hidden="1"/>
    </xf>
    <xf numFmtId="0" fontId="0" fillId="0" borderId="0" xfId="0" applyBorder="1" applyAlignment="1" applyProtection="1">
      <alignment/>
      <protection hidden="1"/>
    </xf>
    <xf numFmtId="0" fontId="0" fillId="0" borderId="11" xfId="0" applyBorder="1" applyAlignment="1" applyProtection="1">
      <alignment/>
      <protection hidden="1"/>
    </xf>
    <xf numFmtId="0" fontId="2" fillId="0" borderId="10" xfId="59" applyFont="1" applyBorder="1" applyAlignment="1" applyProtection="1">
      <alignment horizontal="center"/>
      <protection hidden="1"/>
    </xf>
    <xf numFmtId="0" fontId="2" fillId="0" borderId="11" xfId="59" applyFont="1" applyBorder="1" applyAlignment="1" applyProtection="1">
      <alignment horizontal="center"/>
      <protection hidden="1"/>
    </xf>
    <xf numFmtId="0" fontId="26" fillId="0" borderId="10" xfId="59" applyFont="1" applyBorder="1" applyAlignment="1" applyProtection="1">
      <alignment horizontal="center" wrapText="1"/>
      <protection hidden="1"/>
    </xf>
    <xf numFmtId="0" fontId="26" fillId="0" borderId="0" xfId="59" applyFont="1" applyBorder="1" applyAlignment="1" applyProtection="1">
      <alignment horizontal="center" wrapText="1"/>
      <protection hidden="1"/>
    </xf>
    <xf numFmtId="0" fontId="26" fillId="0" borderId="11" xfId="59" applyFont="1" applyBorder="1" applyAlignment="1" applyProtection="1">
      <alignment horizontal="center" wrapText="1"/>
      <protection hidden="1"/>
    </xf>
    <xf numFmtId="0" fontId="25" fillId="0" borderId="20" xfId="59" applyFont="1" applyBorder="1" applyAlignment="1" applyProtection="1">
      <alignment horizontal="center" vertical="center" wrapText="1"/>
      <protection hidden="1"/>
    </xf>
    <xf numFmtId="0" fontId="13" fillId="0" borderId="20" xfId="59" applyFont="1" applyBorder="1" applyAlignment="1" applyProtection="1">
      <alignment horizontal="center" vertical="center" wrapText="1"/>
      <protection hidden="1"/>
    </xf>
    <xf numFmtId="0" fontId="2" fillId="0" borderId="20" xfId="59" applyFont="1" applyFill="1" applyBorder="1" applyAlignment="1" applyProtection="1">
      <alignment horizontal="center" vertical="center" wrapText="1"/>
      <protection hidden="1"/>
    </xf>
    <xf numFmtId="0" fontId="25" fillId="0" borderId="20" xfId="59" applyFont="1" applyBorder="1" applyAlignment="1" applyProtection="1">
      <alignment horizontal="justify" vertical="center" wrapText="1"/>
      <protection hidden="1"/>
    </xf>
    <xf numFmtId="0" fontId="25" fillId="0" borderId="20" xfId="59" applyFont="1" applyBorder="1" applyAlignment="1" applyProtection="1">
      <alignment horizontal="left" vertical="center" shrinkToFit="1"/>
      <protection hidden="1"/>
    </xf>
    <xf numFmtId="0" fontId="25" fillId="0" borderId="20" xfId="59" applyFont="1" applyBorder="1" applyAlignment="1" applyProtection="1">
      <alignment horizontal="center" vertical="center"/>
      <protection hidden="1"/>
    </xf>
    <xf numFmtId="0" fontId="25" fillId="0" borderId="10" xfId="59" applyFont="1" applyBorder="1" applyAlignment="1" applyProtection="1">
      <alignment horizontal="center" vertical="center"/>
      <protection hidden="1"/>
    </xf>
    <xf numFmtId="0" fontId="25" fillId="0" borderId="0" xfId="59" applyFont="1" applyBorder="1" applyAlignment="1" applyProtection="1">
      <alignment horizontal="center" vertical="center"/>
      <protection hidden="1"/>
    </xf>
    <xf numFmtId="0" fontId="25" fillId="0" borderId="11" xfId="59" applyFont="1" applyBorder="1" applyAlignment="1" applyProtection="1">
      <alignment horizontal="center" vertical="center"/>
      <protection hidden="1"/>
    </xf>
    <xf numFmtId="0" fontId="7" fillId="0" borderId="0" xfId="59" applyFont="1" applyBorder="1" applyAlignment="1" applyProtection="1">
      <alignment horizontal="center" vertical="top" wrapText="1"/>
      <protection hidden="1"/>
    </xf>
    <xf numFmtId="0" fontId="7" fillId="0" borderId="11" xfId="59" applyFont="1" applyBorder="1" applyAlignment="1" applyProtection="1">
      <alignment horizontal="center" vertical="top" wrapText="1"/>
      <protection hidden="1"/>
    </xf>
    <xf numFmtId="0" fontId="26" fillId="0" borderId="10" xfId="59" applyFont="1" applyBorder="1" applyAlignment="1" applyProtection="1">
      <alignment horizontal="left" vertical="center" wrapText="1"/>
      <protection hidden="1"/>
    </xf>
    <xf numFmtId="0" fontId="26" fillId="0" borderId="0" xfId="59" applyFont="1" applyBorder="1" applyAlignment="1" applyProtection="1">
      <alignment horizontal="left" vertical="center" wrapText="1"/>
      <protection hidden="1"/>
    </xf>
    <xf numFmtId="0" fontId="26" fillId="0" borderId="11" xfId="59" applyFont="1" applyBorder="1" applyAlignment="1" applyProtection="1">
      <alignment horizontal="left" vertical="center" wrapText="1"/>
      <protection hidden="1"/>
    </xf>
    <xf numFmtId="182" fontId="14" fillId="0" borderId="0" xfId="59" applyNumberFormat="1" applyFont="1" applyBorder="1" applyAlignment="1" applyProtection="1">
      <alignment horizontal="left"/>
      <protection hidden="1"/>
    </xf>
    <xf numFmtId="0" fontId="6" fillId="0" borderId="20" xfId="61" applyFont="1" applyFill="1" applyBorder="1" applyAlignment="1" applyProtection="1">
      <alignment horizontal="center" vertical="center" wrapText="1"/>
      <protection hidden="1"/>
    </xf>
    <xf numFmtId="0" fontId="36" fillId="0" borderId="0" xfId="61" applyFont="1" applyBorder="1" applyAlignment="1" applyProtection="1">
      <alignment horizontal="center" vertical="center" wrapText="1"/>
      <protection hidden="1"/>
    </xf>
    <xf numFmtId="0" fontId="4" fillId="0" borderId="0" xfId="61" applyFont="1" applyBorder="1" applyAlignment="1" applyProtection="1">
      <alignment horizontal="center"/>
      <protection hidden="1"/>
    </xf>
    <xf numFmtId="0" fontId="11" fillId="0" borderId="0" xfId="61" applyFont="1" applyBorder="1" applyAlignment="1" applyProtection="1">
      <alignment horizontal="center"/>
      <protection hidden="1"/>
    </xf>
    <xf numFmtId="0" fontId="6" fillId="0" borderId="20" xfId="61" applyFont="1" applyFill="1" applyBorder="1" applyAlignment="1" applyProtection="1">
      <alignment horizontal="center" vertical="center"/>
      <protection hidden="1"/>
    </xf>
    <xf numFmtId="0" fontId="4" fillId="0" borderId="0" xfId="61" applyFont="1" applyBorder="1" applyAlignment="1" applyProtection="1">
      <alignment horizontal="left" vertical="center"/>
      <protection hidden="1"/>
    </xf>
    <xf numFmtId="0" fontId="6" fillId="0" borderId="0" xfId="61" applyFont="1" applyBorder="1" applyAlignment="1" applyProtection="1">
      <alignment horizontal="left"/>
      <protection hidden="1"/>
    </xf>
    <xf numFmtId="0" fontId="4" fillId="0" borderId="0" xfId="61" applyFont="1" applyBorder="1" applyAlignment="1" applyProtection="1">
      <alignment horizontal="left"/>
      <protection locked="0"/>
    </xf>
    <xf numFmtId="0" fontId="4" fillId="0" borderId="0" xfId="61" applyFont="1" applyBorder="1" applyAlignment="1" applyProtection="1">
      <alignment horizontal="left"/>
      <protection hidden="1"/>
    </xf>
    <xf numFmtId="0" fontId="4" fillId="0" borderId="0" xfId="61" applyFont="1" applyBorder="1" applyAlignment="1" applyProtection="1">
      <alignment horizontal="center" vertical="center"/>
      <protection hidden="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Proceeding!A1" /><Relationship Id="rId2" Type="http://schemas.openxmlformats.org/officeDocument/2006/relationships/hyperlink" Target="#Bill!A1" /><Relationship Id="rId3" Type="http://schemas.openxmlformats.org/officeDocument/2006/relationships/hyperlink" Target="#CPS!A1" /><Relationship Id="rId4" Type="http://schemas.openxmlformats.org/officeDocument/2006/relationships/hyperlink" Target="#'APTC-47'!A1" /><Relationship Id="rId5" Type="http://schemas.openxmlformats.org/officeDocument/2006/relationships/hyperlink" Target="#'Back 47'!A1" /><Relationship Id="rId6" Type="http://schemas.openxmlformats.org/officeDocument/2006/relationships/hyperlink" Target="#'Parer token &amp; 101'!A1" /><Relationship Id="rId7" Type="http://schemas.openxmlformats.org/officeDocument/2006/relationships/hyperlink" Target="#'Annexure 1 &amp;2'!A1" /><Relationship Id="rId8"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hyperlink" Target="#DATA!A1" /></Relationships>
</file>

<file path=xl/drawings/_rels/drawing3.xml.rels><?xml version="1.0" encoding="utf-8" standalone="yes"?><Relationships xmlns="http://schemas.openxmlformats.org/package/2006/relationships"><Relationship Id="rId1" Type="http://schemas.openxmlformats.org/officeDocument/2006/relationships/hyperlink" Target="#DATA!A1" /></Relationships>
</file>

<file path=xl/drawings/_rels/drawing4.xml.rels><?xml version="1.0" encoding="utf-8" standalone="yes"?><Relationships xmlns="http://schemas.openxmlformats.org/package/2006/relationships"><Relationship Id="rId1" Type="http://schemas.openxmlformats.org/officeDocument/2006/relationships/hyperlink" Target="#DATA!A1" /></Relationships>
</file>

<file path=xl/drawings/_rels/drawing5.xml.rels><?xml version="1.0" encoding="utf-8" standalone="yes"?><Relationships xmlns="http://schemas.openxmlformats.org/package/2006/relationships"><Relationship Id="rId1" Type="http://schemas.openxmlformats.org/officeDocument/2006/relationships/hyperlink" Target="#DATA!A1" /></Relationships>
</file>

<file path=xl/drawings/_rels/drawing6.xml.rels><?xml version="1.0" encoding="utf-8" standalone="yes"?><Relationships xmlns="http://schemas.openxmlformats.org/package/2006/relationships"><Relationship Id="rId1" Type="http://schemas.openxmlformats.org/officeDocument/2006/relationships/hyperlink" Target="#DATA!A1" /></Relationships>
</file>

<file path=xl/drawings/_rels/drawing7.xml.rels><?xml version="1.0" encoding="utf-8" standalone="yes"?><Relationships xmlns="http://schemas.openxmlformats.org/package/2006/relationships"><Relationship Id="rId1" Type="http://schemas.openxmlformats.org/officeDocument/2006/relationships/hyperlink" Target="#DATA!A1" /></Relationships>
</file>

<file path=xl/drawings/_rels/drawing8.xml.rels><?xml version="1.0" encoding="utf-8" standalone="yes"?><Relationships xmlns="http://schemas.openxmlformats.org/package/2006/relationships"><Relationship Id="rId1" Type="http://schemas.openxmlformats.org/officeDocument/2006/relationships/hyperlink" Target="#DATA!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114300</xdr:colOff>
      <xdr:row>1</xdr:row>
      <xdr:rowOff>76200</xdr:rowOff>
    </xdr:from>
    <xdr:to>
      <xdr:col>15</xdr:col>
      <xdr:colOff>314325</xdr:colOff>
      <xdr:row>3</xdr:row>
      <xdr:rowOff>76200</xdr:rowOff>
    </xdr:to>
    <xdr:sp>
      <xdr:nvSpPr>
        <xdr:cNvPr id="1" name="Oval 1">
          <a:hlinkClick r:id="rId1"/>
        </xdr:cNvPr>
        <xdr:cNvSpPr>
          <a:spLocks/>
        </xdr:cNvSpPr>
      </xdr:nvSpPr>
      <xdr:spPr>
        <a:xfrm>
          <a:off x="9591675" y="409575"/>
          <a:ext cx="1285875" cy="628650"/>
        </a:xfrm>
        <a:prstGeom prst="ellipse">
          <a:avLst/>
        </a:prstGeom>
        <a:gradFill rotWithShape="1">
          <a:gsLst>
            <a:gs pos="0">
              <a:srgbClr val="CCCCFF"/>
            </a:gs>
            <a:gs pos="17999">
              <a:srgbClr val="99CCFF"/>
            </a:gs>
            <a:gs pos="36000">
              <a:srgbClr val="9966FF"/>
            </a:gs>
            <a:gs pos="61000">
              <a:srgbClr val="CC99FF"/>
            </a:gs>
            <a:gs pos="82001">
              <a:srgbClr val="99CCFF"/>
            </a:gs>
            <a:gs pos="100000">
              <a:srgbClr val="CCCCFF"/>
            </a:gs>
          </a:gsLst>
          <a:lin ang="2700000" scaled="1"/>
        </a:gradFill>
        <a:ln w="9525" cmpd="sng">
          <a:noFill/>
        </a:ln>
      </xdr:spPr>
      <xdr:txBody>
        <a:bodyPr vertOverflow="clip" wrap="square" lIns="91440" tIns="45720" rIns="91440" bIns="45720" anchor="ctr"/>
        <a:p>
          <a:pPr algn="ctr">
            <a:defRPr/>
          </a:pPr>
          <a:r>
            <a:rPr lang="en-US" cap="none" sz="1200" b="1" i="0" u="none" baseline="0">
              <a:solidFill>
                <a:srgbClr val="000000"/>
              </a:solidFill>
              <a:latin typeface="Calibri"/>
              <a:ea typeface="Calibri"/>
              <a:cs typeface="Calibri"/>
            </a:rPr>
            <a:t>Proceeding</a:t>
          </a:r>
        </a:p>
      </xdr:txBody>
    </xdr:sp>
    <xdr:clientData/>
  </xdr:twoCellAnchor>
  <xdr:twoCellAnchor>
    <xdr:from>
      <xdr:col>13</xdr:col>
      <xdr:colOff>142875</xdr:colOff>
      <xdr:row>3</xdr:row>
      <xdr:rowOff>161925</xdr:rowOff>
    </xdr:from>
    <xdr:to>
      <xdr:col>15</xdr:col>
      <xdr:colOff>342900</xdr:colOff>
      <xdr:row>5</xdr:row>
      <xdr:rowOff>219075</xdr:rowOff>
    </xdr:to>
    <xdr:sp>
      <xdr:nvSpPr>
        <xdr:cNvPr id="2" name="Oval 2">
          <a:hlinkClick r:id="rId2"/>
        </xdr:cNvPr>
        <xdr:cNvSpPr>
          <a:spLocks/>
        </xdr:cNvSpPr>
      </xdr:nvSpPr>
      <xdr:spPr>
        <a:xfrm>
          <a:off x="9620250" y="1123950"/>
          <a:ext cx="1285875" cy="628650"/>
        </a:xfrm>
        <a:prstGeom prst="ellipse">
          <a:avLst/>
        </a:prstGeom>
        <a:ln w="9525" cmpd="sng">
          <a:noFill/>
        </a:ln>
      </xdr:spPr>
      <xdr:txBody>
        <a:bodyPr vertOverflow="clip" wrap="square" lIns="91440" tIns="45720" rIns="91440" bIns="45720" anchor="ctr"/>
        <a:p>
          <a:pPr algn="ctr">
            <a:defRPr/>
          </a:pPr>
          <a:r>
            <a:rPr lang="en-US" cap="none" sz="1400" b="0" i="0" u="none" baseline="0">
              <a:solidFill>
                <a:srgbClr val="000000"/>
              </a:solidFill>
              <a:latin typeface="Calibri"/>
              <a:ea typeface="Calibri"/>
              <a:cs typeface="Calibri"/>
            </a:rPr>
            <a:t>Bill</a:t>
          </a:r>
        </a:p>
      </xdr:txBody>
    </xdr:sp>
    <xdr:clientData/>
  </xdr:twoCellAnchor>
  <xdr:twoCellAnchor>
    <xdr:from>
      <xdr:col>13</xdr:col>
      <xdr:colOff>142875</xdr:colOff>
      <xdr:row>16</xdr:row>
      <xdr:rowOff>47625</xdr:rowOff>
    </xdr:from>
    <xdr:to>
      <xdr:col>15</xdr:col>
      <xdr:colOff>342900</xdr:colOff>
      <xdr:row>18</xdr:row>
      <xdr:rowOff>133350</xdr:rowOff>
    </xdr:to>
    <xdr:sp>
      <xdr:nvSpPr>
        <xdr:cNvPr id="3" name="Oval 3">
          <a:hlinkClick r:id="rId3"/>
        </xdr:cNvPr>
        <xdr:cNvSpPr>
          <a:spLocks/>
        </xdr:cNvSpPr>
      </xdr:nvSpPr>
      <xdr:spPr>
        <a:xfrm>
          <a:off x="9620250" y="4724400"/>
          <a:ext cx="1285875" cy="638175"/>
        </a:xfrm>
        <a:prstGeom prst="ellipse">
          <a:avLst/>
        </a:prstGeom>
        <a:gradFill rotWithShape="1">
          <a:gsLst>
            <a:gs pos="0">
              <a:srgbClr val="FBEAC7"/>
            </a:gs>
            <a:gs pos="17999">
              <a:srgbClr val="FEE7F2"/>
            </a:gs>
            <a:gs pos="36000">
              <a:srgbClr val="FAC77D"/>
            </a:gs>
            <a:gs pos="61000">
              <a:srgbClr val="FBA97D"/>
            </a:gs>
            <a:gs pos="82001">
              <a:srgbClr val="FBD49C"/>
            </a:gs>
            <a:gs pos="100000">
              <a:srgbClr val="FEE7F2"/>
            </a:gs>
          </a:gsLst>
          <a:lin ang="0" scaled="1"/>
        </a:gradFill>
        <a:ln w="9525" cmpd="sng">
          <a:noFill/>
        </a:ln>
      </xdr:spPr>
      <xdr:txBody>
        <a:bodyPr vertOverflow="clip" wrap="square" lIns="91440" tIns="45720" rIns="91440" bIns="45720" anchor="ctr"/>
        <a:p>
          <a:pPr algn="ctr">
            <a:defRPr/>
          </a:pPr>
          <a:r>
            <a:rPr lang="en-US" cap="none" sz="1100" b="1" i="0" u="none" baseline="0">
              <a:solidFill>
                <a:srgbClr val="000000"/>
              </a:solidFill>
              <a:latin typeface="Calibri"/>
              <a:ea typeface="Calibri"/>
              <a:cs typeface="Calibri"/>
            </a:rPr>
            <a:t>CPS</a:t>
          </a:r>
        </a:p>
      </xdr:txBody>
    </xdr:sp>
    <xdr:clientData/>
  </xdr:twoCellAnchor>
  <xdr:twoCellAnchor>
    <xdr:from>
      <xdr:col>13</xdr:col>
      <xdr:colOff>152400</xdr:colOff>
      <xdr:row>6</xdr:row>
      <xdr:rowOff>19050</xdr:rowOff>
    </xdr:from>
    <xdr:to>
      <xdr:col>15</xdr:col>
      <xdr:colOff>352425</xdr:colOff>
      <xdr:row>8</xdr:row>
      <xdr:rowOff>85725</xdr:rowOff>
    </xdr:to>
    <xdr:sp>
      <xdr:nvSpPr>
        <xdr:cNvPr id="4" name="Oval 4">
          <a:hlinkClick r:id="rId4"/>
        </xdr:cNvPr>
        <xdr:cNvSpPr>
          <a:spLocks/>
        </xdr:cNvSpPr>
      </xdr:nvSpPr>
      <xdr:spPr>
        <a:xfrm>
          <a:off x="9629775" y="1838325"/>
          <a:ext cx="1285875" cy="638175"/>
        </a:xfrm>
        <a:prstGeom prst="ellipse">
          <a:avLst/>
        </a:prstGeom>
        <a:gradFill rotWithShape="1">
          <a:gsLst>
            <a:gs pos="0">
              <a:srgbClr val="5E9EFF"/>
            </a:gs>
            <a:gs pos="39999">
              <a:srgbClr val="85C2FF"/>
            </a:gs>
            <a:gs pos="70000">
              <a:srgbClr val="C4D6EB"/>
            </a:gs>
            <a:gs pos="100000">
              <a:srgbClr val="FFEBFA"/>
            </a:gs>
          </a:gsLst>
          <a:lin ang="5400000" scaled="1"/>
        </a:gradFill>
        <a:ln w="9525" cmpd="sng">
          <a:noFill/>
        </a:ln>
      </xdr:spPr>
      <xdr:txBody>
        <a:bodyPr vertOverflow="clip" wrap="square" lIns="91440" tIns="45720" rIns="91440" bIns="45720" anchor="ctr"/>
        <a:p>
          <a:pPr algn="ctr">
            <a:defRPr/>
          </a:pPr>
          <a:r>
            <a:rPr lang="en-US" cap="none" sz="1100" b="1" i="0" u="none" baseline="0">
              <a:latin typeface="Calibri"/>
              <a:ea typeface="Calibri"/>
              <a:cs typeface="Calibri"/>
            </a:rPr>
            <a:t>APTC 47</a:t>
          </a:r>
        </a:p>
      </xdr:txBody>
    </xdr:sp>
    <xdr:clientData/>
  </xdr:twoCellAnchor>
  <xdr:twoCellAnchor>
    <xdr:from>
      <xdr:col>13</xdr:col>
      <xdr:colOff>161925</xdr:colOff>
      <xdr:row>8</xdr:row>
      <xdr:rowOff>190500</xdr:rowOff>
    </xdr:from>
    <xdr:to>
      <xdr:col>15</xdr:col>
      <xdr:colOff>361950</xdr:colOff>
      <xdr:row>10</xdr:row>
      <xdr:rowOff>257175</xdr:rowOff>
    </xdr:to>
    <xdr:sp>
      <xdr:nvSpPr>
        <xdr:cNvPr id="5" name="Oval 5">
          <a:hlinkClick r:id="rId5"/>
        </xdr:cNvPr>
        <xdr:cNvSpPr>
          <a:spLocks/>
        </xdr:cNvSpPr>
      </xdr:nvSpPr>
      <xdr:spPr>
        <a:xfrm>
          <a:off x="9639300" y="2581275"/>
          <a:ext cx="1285875" cy="638175"/>
        </a:xfrm>
        <a:prstGeom prst="ellipse">
          <a:avLst/>
        </a:prstGeom>
        <a:gradFill rotWithShape="1">
          <a:gsLst>
            <a:gs pos="0">
              <a:srgbClr val="FF3399"/>
            </a:gs>
            <a:gs pos="25000">
              <a:srgbClr val="FF6633"/>
            </a:gs>
            <a:gs pos="50000">
              <a:srgbClr val="FFFF00"/>
            </a:gs>
            <a:gs pos="75000">
              <a:srgbClr val="01A78F"/>
            </a:gs>
            <a:gs pos="100000">
              <a:srgbClr val="3366FF"/>
            </a:gs>
          </a:gsLst>
          <a:lin ang="2700000" scaled="1"/>
        </a:gradFill>
        <a:ln w="9525" cmpd="sng">
          <a:noFill/>
        </a:ln>
      </xdr:spPr>
      <xdr:txBody>
        <a:bodyPr vertOverflow="clip" wrap="square" lIns="91440" tIns="45720" rIns="91440" bIns="45720" anchor="ctr"/>
        <a:p>
          <a:pPr algn="ctr">
            <a:defRPr/>
          </a:pPr>
          <a:r>
            <a:rPr lang="en-US" cap="none" sz="1100" b="1" i="0" u="none" baseline="0">
              <a:solidFill>
                <a:srgbClr val="FFFFCC"/>
              </a:solidFill>
              <a:latin typeface="Calibri"/>
              <a:ea typeface="Calibri"/>
              <a:cs typeface="Calibri"/>
            </a:rPr>
            <a:t>BACK</a:t>
          </a:r>
          <a:r>
            <a:rPr lang="en-US" cap="none" sz="1100" b="1" i="0" u="none" baseline="0">
              <a:solidFill>
                <a:srgbClr val="FFFFCC"/>
              </a:solidFill>
              <a:latin typeface="Calibri"/>
              <a:ea typeface="Calibri"/>
              <a:cs typeface="Calibri"/>
            </a:rPr>
            <a:t> 47</a:t>
          </a:r>
        </a:p>
      </xdr:txBody>
    </xdr:sp>
    <xdr:clientData/>
  </xdr:twoCellAnchor>
  <xdr:twoCellAnchor>
    <xdr:from>
      <xdr:col>13</xdr:col>
      <xdr:colOff>152400</xdr:colOff>
      <xdr:row>11</xdr:row>
      <xdr:rowOff>19050</xdr:rowOff>
    </xdr:from>
    <xdr:to>
      <xdr:col>15</xdr:col>
      <xdr:colOff>352425</xdr:colOff>
      <xdr:row>13</xdr:row>
      <xdr:rowOff>85725</xdr:rowOff>
    </xdr:to>
    <xdr:sp>
      <xdr:nvSpPr>
        <xdr:cNvPr id="6" name="Oval 6">
          <a:hlinkClick r:id="rId6"/>
        </xdr:cNvPr>
        <xdr:cNvSpPr>
          <a:spLocks/>
        </xdr:cNvSpPr>
      </xdr:nvSpPr>
      <xdr:spPr>
        <a:xfrm>
          <a:off x="9629775" y="3267075"/>
          <a:ext cx="1285875" cy="638175"/>
        </a:xfrm>
        <a:prstGeom prst="ellipse">
          <a:avLst/>
        </a:prstGeom>
        <a:ln w="9525" cmpd="sng">
          <a:noFill/>
        </a:ln>
      </xdr:spPr>
      <xdr:txBody>
        <a:bodyPr vertOverflow="clip" wrap="square" lIns="91440" tIns="45720" rIns="91440" bIns="45720" anchor="ctr"/>
        <a:p>
          <a:pPr algn="ctr">
            <a:defRPr/>
          </a:pPr>
          <a:r>
            <a:rPr lang="en-US" cap="none" sz="1100" b="1" i="0" u="none" baseline="0">
              <a:solidFill>
                <a:srgbClr val="008000"/>
              </a:solidFill>
              <a:latin typeface="Calibri"/>
              <a:ea typeface="Calibri"/>
              <a:cs typeface="Calibri"/>
            </a:rPr>
            <a:t>Paper Token &amp; 101</a:t>
          </a:r>
        </a:p>
      </xdr:txBody>
    </xdr:sp>
    <xdr:clientData/>
  </xdr:twoCellAnchor>
  <xdr:twoCellAnchor>
    <xdr:from>
      <xdr:col>13</xdr:col>
      <xdr:colOff>133350</xdr:colOff>
      <xdr:row>13</xdr:row>
      <xdr:rowOff>180975</xdr:rowOff>
    </xdr:from>
    <xdr:to>
      <xdr:col>15</xdr:col>
      <xdr:colOff>333375</xdr:colOff>
      <xdr:row>15</xdr:row>
      <xdr:rowOff>238125</xdr:rowOff>
    </xdr:to>
    <xdr:sp>
      <xdr:nvSpPr>
        <xdr:cNvPr id="7" name="Oval 7">
          <a:hlinkClick r:id="rId7"/>
        </xdr:cNvPr>
        <xdr:cNvSpPr>
          <a:spLocks/>
        </xdr:cNvSpPr>
      </xdr:nvSpPr>
      <xdr:spPr>
        <a:xfrm>
          <a:off x="9610725" y="4000500"/>
          <a:ext cx="1285875" cy="628650"/>
        </a:xfrm>
        <a:prstGeom prst="ellipse">
          <a:avLst/>
        </a:prstGeom>
        <a:ln w="9525" cmpd="sng">
          <a:noFill/>
        </a:ln>
      </xdr:spPr>
      <xdr:txBody>
        <a:bodyPr vertOverflow="clip" wrap="square" lIns="91440" tIns="45720" rIns="91440" bIns="45720" anchor="ctr"/>
        <a:p>
          <a:pPr algn="ctr">
            <a:defRPr/>
          </a:pPr>
          <a:r>
            <a:rPr lang="en-US" cap="none" sz="1100" b="1" i="0" u="none" baseline="0">
              <a:latin typeface="Calibri"/>
              <a:ea typeface="Calibri"/>
              <a:cs typeface="Calibri"/>
            </a:rPr>
            <a:t>Annexure  
</a:t>
          </a:r>
          <a:r>
            <a:rPr lang="en-US" cap="none" sz="1100" b="1" i="0" u="none" baseline="0">
              <a:latin typeface="Calibri"/>
              <a:ea typeface="Calibri"/>
              <a:cs typeface="Calibri"/>
            </a:rPr>
            <a:t>1 &amp; 2</a:t>
          </a:r>
        </a:p>
      </xdr:txBody>
    </xdr:sp>
    <xdr:clientData/>
  </xdr:twoCellAnchor>
  <xdr:twoCellAnchor>
    <xdr:from>
      <xdr:col>16</xdr:col>
      <xdr:colOff>19050</xdr:colOff>
      <xdr:row>1</xdr:row>
      <xdr:rowOff>0</xdr:rowOff>
    </xdr:from>
    <xdr:to>
      <xdr:col>0</xdr:col>
      <xdr:colOff>47625</xdr:colOff>
      <xdr:row>9751</xdr:row>
      <xdr:rowOff>180975</xdr:rowOff>
    </xdr:to>
    <xdr:sp>
      <xdr:nvSpPr>
        <xdr:cNvPr id="8" name="Rectangle 9"/>
        <xdr:cNvSpPr>
          <a:spLocks/>
        </xdr:cNvSpPr>
      </xdr:nvSpPr>
      <xdr:spPr>
        <a:xfrm>
          <a:off x="10972800" y="333375"/>
          <a:ext cx="0" cy="18356484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647700</xdr:colOff>
      <xdr:row>4</xdr:row>
      <xdr:rowOff>9525</xdr:rowOff>
    </xdr:from>
    <xdr:to>
      <xdr:col>5</xdr:col>
      <xdr:colOff>19050</xdr:colOff>
      <xdr:row>6</xdr:row>
      <xdr:rowOff>200025</xdr:rowOff>
    </xdr:to>
    <xdr:sp>
      <xdr:nvSpPr>
        <xdr:cNvPr id="9" name="Down Arrow 10"/>
        <xdr:cNvSpPr>
          <a:spLocks/>
        </xdr:cNvSpPr>
      </xdr:nvSpPr>
      <xdr:spPr>
        <a:xfrm>
          <a:off x="3305175" y="1257300"/>
          <a:ext cx="19050" cy="762000"/>
        </a:xfrm>
        <a:prstGeom prst="downArrow">
          <a:avLst>
            <a:gd name="adj" fmla="val 32759"/>
          </a:avLst>
        </a:prstGeom>
        <a:solidFill>
          <a:srgbClr val="7030A0"/>
        </a:solid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19050</xdr:colOff>
      <xdr:row>1</xdr:row>
      <xdr:rowOff>0</xdr:rowOff>
    </xdr:from>
    <xdr:to>
      <xdr:col>0</xdr:col>
      <xdr:colOff>47625</xdr:colOff>
      <xdr:row>9751</xdr:row>
      <xdr:rowOff>180975</xdr:rowOff>
    </xdr:to>
    <xdr:sp>
      <xdr:nvSpPr>
        <xdr:cNvPr id="10" name="Rectangle 12"/>
        <xdr:cNvSpPr>
          <a:spLocks/>
        </xdr:cNvSpPr>
      </xdr:nvSpPr>
      <xdr:spPr>
        <a:xfrm>
          <a:off x="10972800" y="333375"/>
          <a:ext cx="0" cy="18356484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12</xdr:row>
      <xdr:rowOff>190500</xdr:rowOff>
    </xdr:from>
    <xdr:to>
      <xdr:col>12</xdr:col>
      <xdr:colOff>180975</xdr:colOff>
      <xdr:row>14</xdr:row>
      <xdr:rowOff>85725</xdr:rowOff>
    </xdr:to>
    <xdr:sp>
      <xdr:nvSpPr>
        <xdr:cNvPr id="11" name="Down Arrow 13"/>
        <xdr:cNvSpPr>
          <a:spLocks/>
        </xdr:cNvSpPr>
      </xdr:nvSpPr>
      <xdr:spPr>
        <a:xfrm>
          <a:off x="8191500" y="3724275"/>
          <a:ext cx="152400" cy="466725"/>
        </a:xfrm>
        <a:prstGeom prst="downArrow">
          <a:avLst>
            <a:gd name="adj" fmla="val 33671"/>
          </a:avLst>
        </a:prstGeom>
        <a:gradFill rotWithShape="1">
          <a:gsLst>
            <a:gs pos="0">
              <a:srgbClr val="2787A0"/>
            </a:gs>
            <a:gs pos="80000">
              <a:srgbClr val="36B1D2"/>
            </a:gs>
            <a:gs pos="100000">
              <a:srgbClr val="34B3D6"/>
            </a:gs>
          </a:gsLst>
          <a:lin ang="5400000" scaled="1"/>
        </a:grad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628650</xdr:colOff>
      <xdr:row>14</xdr:row>
      <xdr:rowOff>19050</xdr:rowOff>
    </xdr:from>
    <xdr:to>
      <xdr:col>12</xdr:col>
      <xdr:colOff>628650</xdr:colOff>
      <xdr:row>15</xdr:row>
      <xdr:rowOff>9525</xdr:rowOff>
    </xdr:to>
    <xdr:sp>
      <xdr:nvSpPr>
        <xdr:cNvPr id="12" name="Straight Connector 16"/>
        <xdr:cNvSpPr>
          <a:spLocks/>
        </xdr:cNvSpPr>
      </xdr:nvSpPr>
      <xdr:spPr>
        <a:xfrm rot="5400000" flipH="1" flipV="1">
          <a:off x="8791575" y="4124325"/>
          <a:ext cx="0" cy="2762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28575</xdr:colOff>
      <xdr:row>11</xdr:row>
      <xdr:rowOff>152400</xdr:rowOff>
    </xdr:from>
    <xdr:to>
      <xdr:col>10</xdr:col>
      <xdr:colOff>504825</xdr:colOff>
      <xdr:row>11</xdr:row>
      <xdr:rowOff>161925</xdr:rowOff>
    </xdr:to>
    <xdr:sp>
      <xdr:nvSpPr>
        <xdr:cNvPr id="13" name="Straight Arrow Connector 21"/>
        <xdr:cNvSpPr>
          <a:spLocks/>
        </xdr:cNvSpPr>
      </xdr:nvSpPr>
      <xdr:spPr>
        <a:xfrm flipV="1">
          <a:off x="6877050" y="3400425"/>
          <a:ext cx="476250" cy="9525"/>
        </a:xfrm>
        <a:prstGeom prst="straightConnector1">
          <a:avLst/>
        </a:prstGeom>
        <a:noFill/>
        <a:ln w="38100" cmpd="sng">
          <a:solidFill>
            <a:srgbClr val="F79646"/>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333375</xdr:colOff>
      <xdr:row>1</xdr:row>
      <xdr:rowOff>0</xdr:rowOff>
    </xdr:from>
    <xdr:to>
      <xdr:col>20</xdr:col>
      <xdr:colOff>238125</xdr:colOff>
      <xdr:row>3</xdr:row>
      <xdr:rowOff>209550</xdr:rowOff>
    </xdr:to>
    <xdr:sp>
      <xdr:nvSpPr>
        <xdr:cNvPr id="14" name="Right Arrow 15"/>
        <xdr:cNvSpPr>
          <a:spLocks/>
        </xdr:cNvSpPr>
      </xdr:nvSpPr>
      <xdr:spPr>
        <a:xfrm>
          <a:off x="10896600" y="333375"/>
          <a:ext cx="1419225" cy="838200"/>
        </a:xfrm>
        <a:prstGeom prst="rightArrow">
          <a:avLst>
            <a:gd name="adj" fmla="val 19592"/>
          </a:avLst>
        </a:prstGeom>
        <a:solidFill>
          <a:srgbClr val="FFFFE1"/>
        </a:solidFill>
        <a:ln w="9525" cmpd="sng">
          <a:solidFill>
            <a:srgbClr val="000000"/>
          </a:solidFill>
          <a:headEnd type="none"/>
          <a:tailEnd type="none"/>
        </a:ln>
      </xdr:spPr>
      <xdr:txBody>
        <a:bodyPr vertOverflow="clip" wrap="square" lIns="18288" tIns="0" rIns="0" bIns="0" anchor="ctr"/>
        <a:p>
          <a:pPr algn="ctr">
            <a:defRPr/>
          </a:pPr>
          <a:r>
            <a:rPr lang="en-US" cap="none" sz="1200" b="1" i="0" u="none" baseline="0">
              <a:solidFill>
                <a:srgbClr val="000000"/>
              </a:solidFill>
            </a:rPr>
            <a:t>Fill</a:t>
          </a:r>
          <a:r>
            <a:rPr lang="en-US" cap="none" sz="1200" b="1" i="0" u="none" baseline="0">
              <a:solidFill>
                <a:srgbClr val="000000"/>
              </a:solidFill>
            </a:rPr>
            <a:t>up head of accounts</a:t>
          </a:r>
        </a:p>
      </xdr:txBody>
    </xdr:sp>
    <xdr:clientData/>
  </xdr:twoCellAnchor>
  <xdr:twoCellAnchor editAs="oneCell">
    <xdr:from>
      <xdr:col>12</xdr:col>
      <xdr:colOff>19050</xdr:colOff>
      <xdr:row>2</xdr:row>
      <xdr:rowOff>9525</xdr:rowOff>
    </xdr:from>
    <xdr:to>
      <xdr:col>12</xdr:col>
      <xdr:colOff>1304925</xdr:colOff>
      <xdr:row>7</xdr:row>
      <xdr:rowOff>247650</xdr:rowOff>
    </xdr:to>
    <xdr:pic>
      <xdr:nvPicPr>
        <xdr:cNvPr id="15" name="Picture 18" descr="014.JPG"/>
        <xdr:cNvPicPr preferRelativeResize="1">
          <a:picLocks noChangeAspect="1"/>
        </xdr:cNvPicPr>
      </xdr:nvPicPr>
      <xdr:blipFill>
        <a:blip r:embed="rId8"/>
        <a:srcRect l="5195" r="11039"/>
        <a:stretch>
          <a:fillRect/>
        </a:stretch>
      </xdr:blipFill>
      <xdr:spPr>
        <a:xfrm>
          <a:off x="8181975" y="685800"/>
          <a:ext cx="1285875" cy="1666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200025</xdr:colOff>
      <xdr:row>3</xdr:row>
      <xdr:rowOff>104775</xdr:rowOff>
    </xdr:from>
    <xdr:to>
      <xdr:col>16</xdr:col>
      <xdr:colOff>171450</xdr:colOff>
      <xdr:row>6</xdr:row>
      <xdr:rowOff>66675</xdr:rowOff>
    </xdr:to>
    <xdr:sp>
      <xdr:nvSpPr>
        <xdr:cNvPr id="1" name="Oval 1">
          <a:hlinkClick r:id="rId1"/>
        </xdr:cNvPr>
        <xdr:cNvSpPr>
          <a:spLocks/>
        </xdr:cNvSpPr>
      </xdr:nvSpPr>
      <xdr:spPr>
        <a:xfrm>
          <a:off x="7153275" y="742950"/>
          <a:ext cx="1190625" cy="638175"/>
        </a:xfrm>
        <a:prstGeom prst="ellipse">
          <a:avLst/>
        </a:prstGeom>
        <a:gradFill rotWithShape="1">
          <a:gsLst>
            <a:gs pos="0">
              <a:srgbClr val="03D4A8"/>
            </a:gs>
            <a:gs pos="25000">
              <a:srgbClr val="21D6E0"/>
            </a:gs>
            <a:gs pos="75000">
              <a:srgbClr val="0087E6"/>
            </a:gs>
            <a:gs pos="100000">
              <a:srgbClr val="005CBF"/>
            </a:gs>
          </a:gsLst>
          <a:lin ang="5400000" scaled="1"/>
        </a:gradFill>
        <a:ln w="9525" cmpd="sng">
          <a:noFill/>
        </a:ln>
      </xdr:spPr>
      <xdr:txBody>
        <a:bodyPr vertOverflow="clip" wrap="square" lIns="18288" tIns="0" rIns="0" bIns="0" anchor="ctr"/>
        <a:p>
          <a:pPr algn="ctr">
            <a:defRPr/>
          </a:pPr>
          <a:r>
            <a:rPr lang="en-US" cap="none" sz="1200" b="1" i="0" u="none" baseline="0"/>
            <a:t>DATA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9525</xdr:colOff>
      <xdr:row>3</xdr:row>
      <xdr:rowOff>85725</xdr:rowOff>
    </xdr:from>
    <xdr:to>
      <xdr:col>30</xdr:col>
      <xdr:colOff>266700</xdr:colOff>
      <xdr:row>5</xdr:row>
      <xdr:rowOff>66675</xdr:rowOff>
    </xdr:to>
    <xdr:sp>
      <xdr:nvSpPr>
        <xdr:cNvPr id="1" name="Oval Callout 1"/>
        <xdr:cNvSpPr>
          <a:spLocks/>
        </xdr:cNvSpPr>
      </xdr:nvSpPr>
      <xdr:spPr>
        <a:xfrm>
          <a:off x="10410825" y="809625"/>
          <a:ext cx="1476375" cy="952500"/>
        </a:xfrm>
        <a:prstGeom prst="wedgeEllipseCallout">
          <a:avLst>
            <a:gd name="adj1" fmla="val -73601"/>
            <a:gd name="adj2" fmla="val 51703"/>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lIns="91440" tIns="45720" rIns="91440" bIns="45720" anchor="ctr"/>
        <a:p>
          <a:pPr algn="ctr">
            <a:defRPr/>
          </a:pPr>
          <a:r>
            <a:rPr lang="en-US" cap="none" sz="1200" b="1" i="0" u="none" baseline="0">
              <a:latin typeface="Calibri"/>
              <a:ea typeface="Calibri"/>
              <a:cs typeface="Calibri"/>
            </a:rPr>
            <a:t>Any differances in Bill table Edit any cell</a:t>
          </a:r>
        </a:p>
      </xdr:txBody>
    </xdr:sp>
    <xdr:clientData/>
  </xdr:twoCellAnchor>
  <xdr:twoCellAnchor>
    <xdr:from>
      <xdr:col>27</xdr:col>
      <xdr:colOff>85725</xdr:colOff>
      <xdr:row>0</xdr:row>
      <xdr:rowOff>142875</xdr:rowOff>
    </xdr:from>
    <xdr:to>
      <xdr:col>29</xdr:col>
      <xdr:colOff>361950</xdr:colOff>
      <xdr:row>3</xdr:row>
      <xdr:rowOff>57150</xdr:rowOff>
    </xdr:to>
    <xdr:sp>
      <xdr:nvSpPr>
        <xdr:cNvPr id="2" name="Oval 2">
          <a:hlinkClick r:id="rId1"/>
        </xdr:cNvPr>
        <xdr:cNvSpPr>
          <a:spLocks/>
        </xdr:cNvSpPr>
      </xdr:nvSpPr>
      <xdr:spPr>
        <a:xfrm>
          <a:off x="10182225" y="142875"/>
          <a:ext cx="1190625" cy="638175"/>
        </a:xfrm>
        <a:prstGeom prst="ellipse">
          <a:avLst/>
        </a:prstGeom>
        <a:gradFill rotWithShape="1">
          <a:gsLst>
            <a:gs pos="0">
              <a:srgbClr val="03D4A8"/>
            </a:gs>
            <a:gs pos="25000">
              <a:srgbClr val="21D6E0"/>
            </a:gs>
            <a:gs pos="75000">
              <a:srgbClr val="0087E6"/>
            </a:gs>
            <a:gs pos="100000">
              <a:srgbClr val="005CBF"/>
            </a:gs>
          </a:gsLst>
          <a:lin ang="5400000" scaled="1"/>
        </a:gradFill>
        <a:ln w="9525" cmpd="sng">
          <a:noFill/>
        </a:ln>
      </xdr:spPr>
      <xdr:txBody>
        <a:bodyPr vertOverflow="clip" wrap="square" lIns="18288" tIns="0" rIns="0" bIns="0" anchor="ctr"/>
        <a:p>
          <a:pPr algn="ctr">
            <a:defRPr/>
          </a:pPr>
          <a:r>
            <a:rPr lang="en-US" cap="none" sz="1400" b="1" i="0" u="none" baseline="0"/>
            <a:t>DATA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58</xdr:row>
      <xdr:rowOff>133350</xdr:rowOff>
    </xdr:from>
    <xdr:to>
      <xdr:col>4</xdr:col>
      <xdr:colOff>38100</xdr:colOff>
      <xdr:row>62</xdr:row>
      <xdr:rowOff>28575</xdr:rowOff>
    </xdr:to>
    <xdr:sp>
      <xdr:nvSpPr>
        <xdr:cNvPr id="1" name="Oval 1"/>
        <xdr:cNvSpPr>
          <a:spLocks/>
        </xdr:cNvSpPr>
      </xdr:nvSpPr>
      <xdr:spPr>
        <a:xfrm>
          <a:off x="685800" y="10382250"/>
          <a:ext cx="809625" cy="65722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NBST/Bank   Seal  </a:t>
          </a:r>
        </a:p>
      </xdr:txBody>
    </xdr:sp>
    <xdr:clientData/>
  </xdr:twoCellAnchor>
  <xdr:twoCellAnchor>
    <xdr:from>
      <xdr:col>26</xdr:col>
      <xdr:colOff>123825</xdr:colOff>
      <xdr:row>2</xdr:row>
      <xdr:rowOff>85725</xdr:rowOff>
    </xdr:from>
    <xdr:to>
      <xdr:col>28</xdr:col>
      <xdr:colOff>95250</xdr:colOff>
      <xdr:row>5</xdr:row>
      <xdr:rowOff>133350</xdr:rowOff>
    </xdr:to>
    <xdr:sp>
      <xdr:nvSpPr>
        <xdr:cNvPr id="2" name="Oval 2">
          <a:hlinkClick r:id="rId1"/>
        </xdr:cNvPr>
        <xdr:cNvSpPr>
          <a:spLocks/>
        </xdr:cNvSpPr>
      </xdr:nvSpPr>
      <xdr:spPr>
        <a:xfrm>
          <a:off x="7620000" y="590550"/>
          <a:ext cx="1190625" cy="638175"/>
        </a:xfrm>
        <a:prstGeom prst="ellipse">
          <a:avLst/>
        </a:prstGeom>
        <a:gradFill rotWithShape="1">
          <a:gsLst>
            <a:gs pos="0">
              <a:srgbClr val="03D4A8"/>
            </a:gs>
            <a:gs pos="25000">
              <a:srgbClr val="21D6E0"/>
            </a:gs>
            <a:gs pos="75000">
              <a:srgbClr val="0087E6"/>
            </a:gs>
            <a:gs pos="100000">
              <a:srgbClr val="005CBF"/>
            </a:gs>
          </a:gsLst>
          <a:lin ang="5400000" scaled="1"/>
        </a:gradFill>
        <a:ln w="9525" cmpd="sng">
          <a:noFill/>
        </a:ln>
      </xdr:spPr>
      <xdr:txBody>
        <a:bodyPr vertOverflow="clip" wrap="square" lIns="18288" tIns="0" rIns="0" bIns="0" anchor="ctr"/>
        <a:p>
          <a:pPr algn="ctr">
            <a:defRPr/>
          </a:pPr>
          <a:r>
            <a:rPr lang="en-US" cap="none" sz="1200" b="1" i="0" u="none" baseline="0"/>
            <a:t>DATA</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600075</xdr:colOff>
      <xdr:row>1</xdr:row>
      <xdr:rowOff>238125</xdr:rowOff>
    </xdr:from>
    <xdr:to>
      <xdr:col>16</xdr:col>
      <xdr:colOff>571500</xdr:colOff>
      <xdr:row>4</xdr:row>
      <xdr:rowOff>76200</xdr:rowOff>
    </xdr:to>
    <xdr:sp>
      <xdr:nvSpPr>
        <xdr:cNvPr id="1" name="Oval 1">
          <a:hlinkClick r:id="rId1"/>
        </xdr:cNvPr>
        <xdr:cNvSpPr>
          <a:spLocks/>
        </xdr:cNvSpPr>
      </xdr:nvSpPr>
      <xdr:spPr>
        <a:xfrm>
          <a:off x="7334250" y="495300"/>
          <a:ext cx="1190625" cy="638175"/>
        </a:xfrm>
        <a:prstGeom prst="ellipse">
          <a:avLst/>
        </a:prstGeom>
        <a:gradFill rotWithShape="1">
          <a:gsLst>
            <a:gs pos="0">
              <a:srgbClr val="03D4A8"/>
            </a:gs>
            <a:gs pos="25000">
              <a:srgbClr val="21D6E0"/>
            </a:gs>
            <a:gs pos="75000">
              <a:srgbClr val="0087E6"/>
            </a:gs>
            <a:gs pos="100000">
              <a:srgbClr val="005CBF"/>
            </a:gs>
          </a:gsLst>
          <a:lin ang="5400000" scaled="1"/>
        </a:gradFill>
        <a:ln w="9525" cmpd="sng">
          <a:noFill/>
        </a:ln>
      </xdr:spPr>
      <xdr:txBody>
        <a:bodyPr vertOverflow="clip" wrap="square" lIns="18288" tIns="0" rIns="0" bIns="0" anchor="ctr"/>
        <a:p>
          <a:pPr algn="ctr">
            <a:defRPr/>
          </a:pPr>
          <a:r>
            <a:rPr lang="en-US" cap="none" sz="1200" b="1" i="0" u="none" baseline="0"/>
            <a:t>DATA</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39</xdr:row>
      <xdr:rowOff>0</xdr:rowOff>
    </xdr:from>
    <xdr:to>
      <xdr:col>2</xdr:col>
      <xdr:colOff>85725</xdr:colOff>
      <xdr:row>42</xdr:row>
      <xdr:rowOff>66675</xdr:rowOff>
    </xdr:to>
    <xdr:sp>
      <xdr:nvSpPr>
        <xdr:cNvPr id="1" name="Oval 4"/>
        <xdr:cNvSpPr>
          <a:spLocks/>
        </xdr:cNvSpPr>
      </xdr:nvSpPr>
      <xdr:spPr>
        <a:xfrm>
          <a:off x="390525" y="7267575"/>
          <a:ext cx="647700" cy="63817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D.D.O.
</a:t>
          </a:r>
          <a:r>
            <a:rPr lang="en-US" cap="none" sz="1000" b="0" i="0" u="none" baseline="0">
              <a:solidFill>
                <a:srgbClr val="000000"/>
              </a:solidFill>
            </a:rPr>
            <a:t>Seal</a:t>
          </a:r>
        </a:p>
      </xdr:txBody>
    </xdr:sp>
    <xdr:clientData/>
  </xdr:twoCellAnchor>
  <xdr:twoCellAnchor>
    <xdr:from>
      <xdr:col>16</xdr:col>
      <xdr:colOff>38100</xdr:colOff>
      <xdr:row>38</xdr:row>
      <xdr:rowOff>66675</xdr:rowOff>
    </xdr:from>
    <xdr:to>
      <xdr:col>19</xdr:col>
      <xdr:colOff>19050</xdr:colOff>
      <xdr:row>42</xdr:row>
      <xdr:rowOff>95250</xdr:rowOff>
    </xdr:to>
    <xdr:sp>
      <xdr:nvSpPr>
        <xdr:cNvPr id="2" name="Oval 2"/>
        <xdr:cNvSpPr>
          <a:spLocks/>
        </xdr:cNvSpPr>
      </xdr:nvSpPr>
      <xdr:spPr>
        <a:xfrm>
          <a:off x="4152900" y="7143750"/>
          <a:ext cx="800100" cy="79057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Treasury Seal</a:t>
          </a:r>
        </a:p>
      </xdr:txBody>
    </xdr:sp>
    <xdr:clientData/>
  </xdr:twoCellAnchor>
  <xdr:twoCellAnchor>
    <xdr:from>
      <xdr:col>26</xdr:col>
      <xdr:colOff>9525</xdr:colOff>
      <xdr:row>38</xdr:row>
      <xdr:rowOff>47625</xdr:rowOff>
    </xdr:from>
    <xdr:to>
      <xdr:col>28</xdr:col>
      <xdr:colOff>123825</xdr:colOff>
      <xdr:row>42</xdr:row>
      <xdr:rowOff>76200</xdr:rowOff>
    </xdr:to>
    <xdr:sp>
      <xdr:nvSpPr>
        <xdr:cNvPr id="3" name="Oval 6"/>
        <xdr:cNvSpPr>
          <a:spLocks/>
        </xdr:cNvSpPr>
      </xdr:nvSpPr>
      <xdr:spPr>
        <a:xfrm>
          <a:off x="6429375" y="7124700"/>
          <a:ext cx="628650" cy="790575"/>
        </a:xfrm>
        <a:prstGeom prst="ellipse">
          <a:avLst/>
        </a:prstGeom>
        <a:solidFill>
          <a:srgbClr val="FFFFFF"/>
        </a:solidFill>
        <a:ln w="12700" cmpd="sng">
          <a:solidFill>
            <a:srgbClr val="000000"/>
          </a:solidFill>
          <a:headEnd type="none"/>
          <a:tailEnd type="none"/>
        </a:ln>
      </xdr:spPr>
      <xdr:txBody>
        <a:bodyPr vertOverflow="clip" wrap="square" lIns="91440" tIns="45720" rIns="91440" bIns="45720" anchor="ctr"/>
        <a:p>
          <a:pPr algn="ctr">
            <a:defRPr/>
          </a:pPr>
          <a:r>
            <a:rPr lang="en-US" cap="none" sz="1050" b="0" i="0" u="none" baseline="0">
              <a:solidFill>
                <a:srgbClr val="000000"/>
              </a:solidFill>
              <a:latin typeface="Calibri"/>
              <a:ea typeface="Calibri"/>
              <a:cs typeface="Calibri"/>
            </a:rPr>
            <a:t>DDOSeal</a:t>
          </a:r>
        </a:p>
      </xdr:txBody>
    </xdr:sp>
    <xdr:clientData/>
  </xdr:twoCellAnchor>
  <xdr:twoCellAnchor>
    <xdr:from>
      <xdr:col>46</xdr:col>
      <xdr:colOff>285750</xdr:colOff>
      <xdr:row>1</xdr:row>
      <xdr:rowOff>266700</xdr:rowOff>
    </xdr:from>
    <xdr:to>
      <xdr:col>48</xdr:col>
      <xdr:colOff>257175</xdr:colOff>
      <xdr:row>4</xdr:row>
      <xdr:rowOff>171450</xdr:rowOff>
    </xdr:to>
    <xdr:sp>
      <xdr:nvSpPr>
        <xdr:cNvPr id="4" name="Oval 7">
          <a:hlinkClick r:id="rId1"/>
        </xdr:cNvPr>
        <xdr:cNvSpPr>
          <a:spLocks/>
        </xdr:cNvSpPr>
      </xdr:nvSpPr>
      <xdr:spPr>
        <a:xfrm>
          <a:off x="11344275" y="466725"/>
          <a:ext cx="1190625" cy="638175"/>
        </a:xfrm>
        <a:prstGeom prst="ellipse">
          <a:avLst/>
        </a:prstGeom>
        <a:gradFill rotWithShape="1">
          <a:gsLst>
            <a:gs pos="0">
              <a:srgbClr val="03D4A8"/>
            </a:gs>
            <a:gs pos="25000">
              <a:srgbClr val="21D6E0"/>
            </a:gs>
            <a:gs pos="75000">
              <a:srgbClr val="0087E6"/>
            </a:gs>
            <a:gs pos="100000">
              <a:srgbClr val="005CBF"/>
            </a:gs>
          </a:gsLst>
          <a:lin ang="5400000" scaled="1"/>
        </a:gradFill>
        <a:ln w="9525" cmpd="sng">
          <a:noFill/>
        </a:ln>
      </xdr:spPr>
      <xdr:txBody>
        <a:bodyPr vertOverflow="clip" wrap="square" lIns="18288" tIns="0" rIns="0" bIns="0" anchor="ctr"/>
        <a:p>
          <a:pPr algn="ctr">
            <a:defRPr/>
          </a:pPr>
          <a:r>
            <a:rPr lang="en-US" cap="none" sz="1200" b="1" i="0" u="none" baseline="0"/>
            <a:t>DATA</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390525</xdr:colOff>
      <xdr:row>3</xdr:row>
      <xdr:rowOff>171450</xdr:rowOff>
    </xdr:from>
    <xdr:to>
      <xdr:col>16</xdr:col>
      <xdr:colOff>361950</xdr:colOff>
      <xdr:row>7</xdr:row>
      <xdr:rowOff>66675</xdr:rowOff>
    </xdr:to>
    <xdr:sp>
      <xdr:nvSpPr>
        <xdr:cNvPr id="1" name="Oval 1">
          <a:hlinkClick r:id="rId1"/>
        </xdr:cNvPr>
        <xdr:cNvSpPr>
          <a:spLocks/>
        </xdr:cNvSpPr>
      </xdr:nvSpPr>
      <xdr:spPr>
        <a:xfrm>
          <a:off x="7915275" y="800100"/>
          <a:ext cx="1190625" cy="676275"/>
        </a:xfrm>
        <a:prstGeom prst="ellipse">
          <a:avLst/>
        </a:prstGeom>
        <a:gradFill rotWithShape="1">
          <a:gsLst>
            <a:gs pos="0">
              <a:srgbClr val="03D4A8"/>
            </a:gs>
            <a:gs pos="25000">
              <a:srgbClr val="21D6E0"/>
            </a:gs>
            <a:gs pos="75000">
              <a:srgbClr val="0087E6"/>
            </a:gs>
            <a:gs pos="100000">
              <a:srgbClr val="005CBF"/>
            </a:gs>
          </a:gsLst>
          <a:lin ang="5400000" scaled="1"/>
        </a:gradFill>
        <a:ln w="9525" cmpd="sng">
          <a:noFill/>
        </a:ln>
      </xdr:spPr>
      <xdr:txBody>
        <a:bodyPr vertOverflow="clip" wrap="square" lIns="18288" tIns="0" rIns="0" bIns="0" anchor="ctr"/>
        <a:p>
          <a:pPr algn="ctr">
            <a:defRPr/>
          </a:pPr>
          <a:r>
            <a:rPr lang="en-US" cap="none" sz="1200" b="1" i="0" u="none" baseline="0"/>
            <a:t>DATA</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4</xdr:row>
      <xdr:rowOff>19050</xdr:rowOff>
    </xdr:from>
    <xdr:to>
      <xdr:col>12</xdr:col>
      <xdr:colOff>114300</xdr:colOff>
      <xdr:row>7</xdr:row>
      <xdr:rowOff>133350</xdr:rowOff>
    </xdr:to>
    <xdr:sp>
      <xdr:nvSpPr>
        <xdr:cNvPr id="1" name="Oval 1">
          <a:hlinkClick r:id="rId1"/>
        </xdr:cNvPr>
        <xdr:cNvSpPr>
          <a:spLocks/>
        </xdr:cNvSpPr>
      </xdr:nvSpPr>
      <xdr:spPr>
        <a:xfrm>
          <a:off x="7200900" y="952500"/>
          <a:ext cx="1190625" cy="685800"/>
        </a:xfrm>
        <a:prstGeom prst="ellipse">
          <a:avLst/>
        </a:prstGeom>
        <a:gradFill rotWithShape="1">
          <a:gsLst>
            <a:gs pos="0">
              <a:srgbClr val="03D4A8"/>
            </a:gs>
            <a:gs pos="25000">
              <a:srgbClr val="21D6E0"/>
            </a:gs>
            <a:gs pos="75000">
              <a:srgbClr val="0087E6"/>
            </a:gs>
            <a:gs pos="100000">
              <a:srgbClr val="005CBF"/>
            </a:gs>
          </a:gsLst>
          <a:lin ang="5400000" scaled="1"/>
        </a:gradFill>
        <a:ln w="9525" cmpd="sng">
          <a:noFill/>
        </a:ln>
      </xdr:spPr>
      <xdr:txBody>
        <a:bodyPr vertOverflow="clip" wrap="square" lIns="18288" tIns="0" rIns="0" bIns="0" anchor="ctr"/>
        <a:p>
          <a:pPr algn="ctr">
            <a:defRPr/>
          </a:pPr>
          <a:r>
            <a:rPr lang="en-US" cap="none" sz="1200" b="1" i="0" u="none" baseline="0"/>
            <a:t>DATA</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as_software_new%20STU.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ADMINI~1\LOCALS~1\Temp\Documents%20and%20Settings\Pooji\Desktop\ORIGINAL%20BILL(not%20modifie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as_software_1%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f"/>
      <sheetName val=" "/>
      <sheetName val="Proc"/>
      <sheetName val="ap471"/>
      <sheetName val="bill"/>
      <sheetName val="ap472"/>
      <sheetName val="bank"/>
      <sheetName val="zppf"/>
      <sheetName val="css&amp;Gpf"/>
      <sheetName val="cps"/>
      <sheetName val="ptax"/>
      <sheetName val="ptok"/>
      <sheetName val="words"/>
      <sheetName val="scl"/>
    </sheetNames>
    <sheetDataSet>
      <sheetData sheetId="2">
        <row r="21">
          <cell r="BN21">
            <v>1</v>
          </cell>
          <cell r="BO21" t="str">
            <v>M.P.P.S</v>
          </cell>
          <cell r="BP21" t="str">
            <v>Z.P.H.S PEDDAKADABUR, PEDDAKADABUR (M), KURNOOL</v>
          </cell>
          <cell r="BQ21">
            <v>0</v>
          </cell>
          <cell r="BR21">
            <v>1</v>
          </cell>
          <cell r="BS21" t="str">
            <v>Elementary Education</v>
          </cell>
          <cell r="BT21">
            <v>1</v>
          </cell>
          <cell r="BU21">
            <v>0</v>
          </cell>
          <cell r="BV21">
            <v>3</v>
          </cell>
          <cell r="BW21" t="str">
            <v>Assistance to Local Bodies For Primary Education</v>
          </cell>
          <cell r="BX21">
            <v>0</v>
          </cell>
          <cell r="BY21">
            <v>5</v>
          </cell>
          <cell r="BZ21" t="str">
            <v>Teaching Grants To MP</v>
          </cell>
        </row>
        <row r="22">
          <cell r="BN22">
            <v>2</v>
          </cell>
          <cell r="BO22" t="str">
            <v>M.P.U.P.S</v>
          </cell>
          <cell r="BP22" t="str">
            <v>Z.P.H.S PEDDAKADABUR, PEDDAKADABUR (M), KURNOOL</v>
          </cell>
          <cell r="BQ22">
            <v>0</v>
          </cell>
          <cell r="BR22">
            <v>1</v>
          </cell>
          <cell r="BS22" t="str">
            <v>Elementary Education</v>
          </cell>
          <cell r="BT22">
            <v>1</v>
          </cell>
          <cell r="BU22">
            <v>0</v>
          </cell>
          <cell r="BV22">
            <v>3</v>
          </cell>
          <cell r="BW22" t="str">
            <v>Assistance to Local Bodies For Primary Education</v>
          </cell>
          <cell r="BX22">
            <v>0</v>
          </cell>
          <cell r="BY22">
            <v>5</v>
          </cell>
          <cell r="BZ22" t="str">
            <v>Teaching Grants To MP</v>
          </cell>
        </row>
        <row r="23">
          <cell r="BN23">
            <v>3</v>
          </cell>
          <cell r="BO23" t="str">
            <v>Z.P.H.S</v>
          </cell>
          <cell r="BP23" t="str">
            <v>Z.P.H.S PEDDAKADABUR, PEDDAKADABUR (M), KURNOOL</v>
          </cell>
          <cell r="BQ23">
            <v>0</v>
          </cell>
          <cell r="BR23">
            <v>2</v>
          </cell>
          <cell r="BS23" t="str">
            <v>Secondary Education</v>
          </cell>
          <cell r="BT23">
            <v>1</v>
          </cell>
          <cell r="BU23">
            <v>9</v>
          </cell>
          <cell r="BV23">
            <v>1</v>
          </cell>
          <cell r="BW23" t="str">
            <v>Assistance to Local Bodies For Secondary Education</v>
          </cell>
          <cell r="BX23">
            <v>0</v>
          </cell>
          <cell r="BY23">
            <v>5</v>
          </cell>
          <cell r="BZ23" t="str">
            <v>Teaching Grants To ZP</v>
          </cell>
        </row>
        <row r="24">
          <cell r="BN24">
            <v>4</v>
          </cell>
          <cell r="BO24" t="str">
            <v>GOVT.PS</v>
          </cell>
          <cell r="BP24" t="str">
            <v>Z.P.H.S PEDDAKADABUR, PEDDAKADABUR (M), KURNOOL</v>
          </cell>
          <cell r="BQ24">
            <v>0</v>
          </cell>
          <cell r="BR24">
            <v>1</v>
          </cell>
          <cell r="BS24" t="str">
            <v>Elementary Education</v>
          </cell>
          <cell r="BT24">
            <v>1</v>
          </cell>
          <cell r="BU24">
            <v>0</v>
          </cell>
          <cell r="BV24">
            <v>1</v>
          </cell>
          <cell r="BW24" t="str">
            <v>Govt. Primary Schools</v>
          </cell>
          <cell r="BX24">
            <v>0</v>
          </cell>
          <cell r="BY24">
            <v>4</v>
          </cell>
          <cell r="BZ24" t="str">
            <v>Govt. Primary Schools</v>
          </cell>
        </row>
        <row r="25">
          <cell r="BN25">
            <v>5</v>
          </cell>
          <cell r="BO25" t="str">
            <v>GOVT.UPS</v>
          </cell>
          <cell r="BP25" t="str">
            <v>Z.P.H.S PEDDAKADABUR, PEDDAKADABUR (M), KURNOOL</v>
          </cell>
          <cell r="BQ25">
            <v>0</v>
          </cell>
          <cell r="BR25">
            <v>1</v>
          </cell>
          <cell r="BS25" t="str">
            <v>Elementary Education</v>
          </cell>
          <cell r="BT25">
            <v>1</v>
          </cell>
          <cell r="BU25">
            <v>0</v>
          </cell>
          <cell r="BV25">
            <v>1</v>
          </cell>
          <cell r="BW25" t="str">
            <v>Govt. Primary Schools</v>
          </cell>
          <cell r="BX25">
            <v>0</v>
          </cell>
          <cell r="BY25">
            <v>4</v>
          </cell>
          <cell r="BZ25" t="str">
            <v>Govt. Primary Schools</v>
          </cell>
        </row>
        <row r="26">
          <cell r="BN26">
            <v>6</v>
          </cell>
          <cell r="BO26" t="str">
            <v>GOVT. HS</v>
          </cell>
          <cell r="BP26" t="str">
            <v>Z.P.H.S PEDDAKADABUR, PEDDAKADABUR (M), KURNOOL</v>
          </cell>
          <cell r="BQ26">
            <v>0</v>
          </cell>
          <cell r="BR26">
            <v>2</v>
          </cell>
          <cell r="BS26" t="str">
            <v>Secondary Education</v>
          </cell>
          <cell r="BT26">
            <v>1</v>
          </cell>
          <cell r="BU26">
            <v>0</v>
          </cell>
          <cell r="BV26">
            <v>9</v>
          </cell>
          <cell r="BW26" t="str">
            <v>Govt. Secondary Schools</v>
          </cell>
          <cell r="BX26">
            <v>0</v>
          </cell>
          <cell r="BY26">
            <v>4</v>
          </cell>
          <cell r="BZ26" t="str">
            <v>Govt. Secondary Schools</v>
          </cell>
        </row>
        <row r="27">
          <cell r="BN27">
            <v>7</v>
          </cell>
          <cell r="BO27" t="str">
            <v>MPL.PS</v>
          </cell>
          <cell r="BP27" t="str">
            <v>Z.P.H.S PEDDAKADABUR, PEDDAKADABUR (M), KURNOOL</v>
          </cell>
          <cell r="BQ27">
            <v>0</v>
          </cell>
          <cell r="BR27">
            <v>1</v>
          </cell>
          <cell r="BS27" t="str">
            <v>Elementary Education</v>
          </cell>
          <cell r="BT27">
            <v>1</v>
          </cell>
          <cell r="BU27">
            <v>0</v>
          </cell>
          <cell r="BV27">
            <v>3</v>
          </cell>
          <cell r="BW27" t="str">
            <v>Assistance to Local Bodies For Primary Education</v>
          </cell>
          <cell r="BX27">
            <v>0</v>
          </cell>
          <cell r="BY27">
            <v>5</v>
          </cell>
          <cell r="BZ27" t="str">
            <v>Teaching Grants To Local Bodies</v>
          </cell>
        </row>
        <row r="28">
          <cell r="BN28">
            <v>8</v>
          </cell>
          <cell r="BO28" t="str">
            <v>MPL.UPS</v>
          </cell>
          <cell r="BP28" t="str">
            <v>Z.P.H.S PEDDAKADABUR, PEDDAKADABUR (M), KURNOOL</v>
          </cell>
          <cell r="BQ28">
            <v>0</v>
          </cell>
          <cell r="BR28">
            <v>1</v>
          </cell>
          <cell r="BS28" t="str">
            <v>Elementary Education</v>
          </cell>
          <cell r="BT28">
            <v>1</v>
          </cell>
          <cell r="BU28">
            <v>0</v>
          </cell>
          <cell r="BV28">
            <v>3</v>
          </cell>
          <cell r="BW28" t="str">
            <v>Assistance to Local Bodies For Primary Education</v>
          </cell>
          <cell r="BX28">
            <v>0</v>
          </cell>
          <cell r="BY28">
            <v>5</v>
          </cell>
          <cell r="BZ28" t="str">
            <v>Teaching Grants To Local Bodies</v>
          </cell>
        </row>
        <row r="29">
          <cell r="BN29">
            <v>9</v>
          </cell>
          <cell r="BO29" t="str">
            <v>MPL. HS</v>
          </cell>
          <cell r="BP29" t="str">
            <v>Z.P.H.S PEDDAKADABUR, PEDDAKADABUR (M), KURNOOL</v>
          </cell>
          <cell r="BQ29">
            <v>0</v>
          </cell>
          <cell r="BR29">
            <v>2</v>
          </cell>
          <cell r="BS29" t="str">
            <v>Secondary Education</v>
          </cell>
          <cell r="BT29">
            <v>1</v>
          </cell>
          <cell r="BU29">
            <v>9</v>
          </cell>
          <cell r="BV29">
            <v>1</v>
          </cell>
          <cell r="BW29" t="str">
            <v>Assistance to Local Bodies For Secondary Education</v>
          </cell>
          <cell r="BX29">
            <v>0</v>
          </cell>
          <cell r="BY29">
            <v>5</v>
          </cell>
          <cell r="BZ29" t="str">
            <v>Teaching Grants To Local Bodies</v>
          </cell>
        </row>
        <row r="30">
          <cell r="BN30">
            <v>10</v>
          </cell>
          <cell r="BO30">
            <v>0</v>
          </cell>
          <cell r="BP30" t="str">
            <v>Z.P.H.S PEDDAKADABUR, PEDDAKADABUR (M), KURNOOL</v>
          </cell>
          <cell r="BQ30" t="str">
            <v> </v>
          </cell>
          <cell r="BR30" t="str">
            <v> </v>
          </cell>
          <cell r="BS30" t="str">
            <v> </v>
          </cell>
          <cell r="BT30" t="str">
            <v> </v>
          </cell>
          <cell r="BU30" t="str">
            <v> </v>
          </cell>
          <cell r="BV30" t="str">
            <v> </v>
          </cell>
          <cell r="BW30" t="str">
            <v> </v>
          </cell>
          <cell r="BX30" t="str">
            <v> </v>
          </cell>
          <cell r="BY30" t="str">
            <v> </v>
          </cell>
          <cell r="BZ30" t="str">
            <v> </v>
          </cell>
          <cell r="CA30" t="str">
            <v> </v>
          </cell>
        </row>
        <row r="31">
          <cell r="BN31">
            <v>11</v>
          </cell>
          <cell r="BO31">
            <v>0</v>
          </cell>
          <cell r="BP31" t="str">
            <v>Z.P.H.S PEDDAKADABUR, PEDDAKADABUR (M), KURNOOL</v>
          </cell>
          <cell r="BQ31" t="str">
            <v> </v>
          </cell>
          <cell r="BR31" t="str">
            <v> </v>
          </cell>
          <cell r="BS31" t="str">
            <v> </v>
          </cell>
          <cell r="BT31" t="str">
            <v> </v>
          </cell>
          <cell r="BU31" t="str">
            <v> </v>
          </cell>
          <cell r="BV31" t="str">
            <v> </v>
          </cell>
          <cell r="BW31" t="str">
            <v> </v>
          </cell>
          <cell r="BX31" t="str">
            <v> </v>
          </cell>
          <cell r="BY31" t="str">
            <v> </v>
          </cell>
          <cell r="BZ31" t="str">
            <v> </v>
          </cell>
          <cell r="CA31" t="str">
            <v> </v>
          </cell>
        </row>
        <row r="32">
          <cell r="BN32">
            <v>12</v>
          </cell>
          <cell r="BO32">
            <v>0</v>
          </cell>
          <cell r="BP32" t="str">
            <v>Z.P.H.S PEDDAKADABUR, PEDDAKADABUR (M), KURNOOL</v>
          </cell>
          <cell r="BQ32" t="str">
            <v> </v>
          </cell>
          <cell r="BR32" t="str">
            <v> </v>
          </cell>
          <cell r="BS32" t="str">
            <v> </v>
          </cell>
          <cell r="BT32" t="str">
            <v> </v>
          </cell>
          <cell r="BU32" t="str">
            <v> </v>
          </cell>
          <cell r="BV32" t="str">
            <v> </v>
          </cell>
          <cell r="BW32" t="str">
            <v> </v>
          </cell>
          <cell r="BX32" t="str">
            <v> </v>
          </cell>
          <cell r="BY32" t="str">
            <v> </v>
          </cell>
          <cell r="BZ32" t="str">
            <v> </v>
          </cell>
          <cell r="CA32" t="str">
            <v> </v>
          </cell>
        </row>
        <row r="33">
          <cell r="BN33">
            <v>13</v>
          </cell>
          <cell r="BO33">
            <v>0</v>
          </cell>
          <cell r="BP33" t="str">
            <v>Z.P.H.S PEDDAKADABUR, PEDDAKADABUR (M), KURNOOL</v>
          </cell>
          <cell r="BQ33" t="str">
            <v> </v>
          </cell>
          <cell r="BR33" t="str">
            <v> </v>
          </cell>
          <cell r="BS33" t="str">
            <v> </v>
          </cell>
          <cell r="BT33" t="str">
            <v> </v>
          </cell>
          <cell r="BU33" t="str">
            <v> </v>
          </cell>
          <cell r="BV33" t="str">
            <v> </v>
          </cell>
          <cell r="BW33" t="str">
            <v> </v>
          </cell>
          <cell r="BX33" t="str">
            <v> </v>
          </cell>
          <cell r="BY33" t="str">
            <v> </v>
          </cell>
          <cell r="BZ33" t="str">
            <v> </v>
          </cell>
          <cell r="CA33" t="str">
            <v>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ORK SHEET"/>
      <sheetName val="PAPER"/>
      <sheetName val="101"/>
      <sheetName val="47-FRONT"/>
      <sheetName val="BILL"/>
      <sheetName val="47-BACK"/>
      <sheetName val="A.N-I"/>
      <sheetName val="A.N-II"/>
      <sheetName val="A.N-III"/>
      <sheetName val="A.P.G.L.I"/>
      <sheetName val="A.N-A"/>
      <sheetName val="G.I.S"/>
      <sheetName val="P.T."/>
      <sheetName val="Z.P.P.F"/>
      <sheetName val="FESTI.ADVN."/>
      <sheetName val="EWF"/>
      <sheetName val="CMRF"/>
      <sheetName val="INCRE-NOV"/>
      <sheetName val="49-NOV"/>
      <sheetName val="INCRE-JAN"/>
      <sheetName val="49-JAN"/>
      <sheetName val="INCRE-JULY"/>
      <sheetName val="49-JULY"/>
      <sheetName val="INCRE-AUG"/>
      <sheetName val="49-AUG"/>
      <sheetName val="47-FRO(DA-1)"/>
      <sheetName val="D.A.ARREAR-JULY"/>
      <sheetName val="47-BACK(DA-1)"/>
      <sheetName val="ZPPF(D.A-1)"/>
      <sheetName val="47-FRO(D.A-2)"/>
      <sheetName val="D.A.ARREAR-JAN"/>
      <sheetName val="47-BACK(D.A-2)"/>
      <sheetName val="ZPPF(D.A-2)"/>
      <sheetName val="SALARY CERT."/>
      <sheetName val="G&amp;N"/>
    </sheetNames>
    <sheetDataSet>
      <sheetData sheetId="4">
        <row r="92">
          <cell r="AF92">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WORK SHEET"/>
      <sheetName val="P. TOKEN"/>
      <sheetName val="ANNEX-I &amp; II"/>
      <sheetName val="101"/>
      <sheetName val="PROCEEDINGS"/>
      <sheetName val="47-FRONT"/>
      <sheetName val="BILL-NOTIONAL"/>
      <sheetName val="BILL-P.F &amp; CASH"/>
      <sheetName val="BILL"/>
      <sheetName val="47-BUDGET"/>
      <sheetName val="P.F SCHEDULE"/>
      <sheetName val="PT SCHEDULE"/>
      <sheetName val="49-(1P)"/>
      <sheetName val="49-(2P)"/>
      <sheetName val="PREAMBLE"/>
      <sheetName val="Sheet1"/>
      <sheetName val="Sheet2"/>
      <sheetName val="Sheet3"/>
    </sheetNames>
    <sheetDataSet>
      <sheetData sheetId="6">
        <row r="57">
          <cell r="G57" t="str">
            <v>Rs.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urnoolbadi.in/" TargetMode="External" /><Relationship Id="rId2" Type="http://schemas.openxmlformats.org/officeDocument/2006/relationships/hyperlink" Target="http://www.kurnoolbadi.in/"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C00000"/>
  </sheetPr>
  <dimension ref="A1:EK273"/>
  <sheetViews>
    <sheetView showGridLines="0" showRowColHeaders="0" tabSelected="1" zoomScalePageLayoutView="0" workbookViewId="0" topLeftCell="A1">
      <selection activeCell="E3" sqref="E3:F3"/>
    </sheetView>
  </sheetViews>
  <sheetFormatPr defaultColWidth="4.28125" defaultRowHeight="15"/>
  <cols>
    <col min="1" max="1" width="4.7109375" style="339" customWidth="1"/>
    <col min="2" max="3" width="12.7109375" style="0" customWidth="1"/>
    <col min="4" max="4" width="9.7109375" style="0" customWidth="1"/>
    <col min="5" max="5" width="9.7109375" style="1" customWidth="1"/>
    <col min="6" max="6" width="9.7109375" style="0" customWidth="1"/>
    <col min="7" max="7" width="11.421875" style="0" customWidth="1"/>
    <col min="8" max="8" width="12.421875" style="0" customWidth="1"/>
    <col min="9" max="9" width="9.8515625" style="0" customWidth="1"/>
    <col min="10" max="10" width="9.7109375" style="0" customWidth="1"/>
    <col min="11" max="11" width="9.00390625" style="0" customWidth="1"/>
    <col min="12" max="12" width="10.7109375" style="0" customWidth="1"/>
    <col min="13" max="13" width="19.7109375" style="0" customWidth="1"/>
    <col min="14" max="14" width="6.7109375" style="0" customWidth="1"/>
    <col min="15" max="15" width="9.57421875" style="1" customWidth="1"/>
    <col min="16" max="16" width="5.8515625" style="1" customWidth="1"/>
    <col min="17" max="17" width="3.00390625" style="339" customWidth="1"/>
    <col min="18" max="18" width="5.57421875" style="339" customWidth="1"/>
    <col min="19" max="20" width="4.140625" style="339" customWidth="1"/>
    <col min="21" max="21" width="5.57421875" style="339" customWidth="1"/>
    <col min="22" max="22" width="5.140625" style="339" customWidth="1"/>
    <col min="23" max="23" width="4.7109375" style="339" customWidth="1"/>
    <col min="24" max="24" width="4.00390625" style="339" customWidth="1"/>
    <col min="25" max="25" width="10.7109375" style="339" customWidth="1"/>
    <col min="26" max="26" width="6.00390625" style="339" customWidth="1"/>
    <col min="27" max="27" width="5.140625" style="339" customWidth="1"/>
    <col min="28" max="28" width="8.28125" style="339" customWidth="1"/>
    <col min="29" max="31" width="9.140625" style="339" customWidth="1"/>
    <col min="32" max="32" width="4.421875" style="339" customWidth="1"/>
    <col min="33" max="34" width="9.140625" style="339" customWidth="1"/>
    <col min="35" max="35" width="10.57421875" style="339" customWidth="1"/>
    <col min="36" max="36" width="10.7109375" style="339" customWidth="1"/>
    <col min="37" max="37" width="11.00390625" style="339" customWidth="1"/>
    <col min="38" max="38" width="11.421875" style="339" customWidth="1"/>
    <col min="39" max="39" width="11.00390625" style="339" customWidth="1"/>
    <col min="40" max="95" width="9.140625" style="339" customWidth="1"/>
    <col min="96" max="96" width="1.1484375" style="339" customWidth="1"/>
    <col min="97" max="97" width="8.140625" style="339" customWidth="1"/>
    <col min="98" max="98" width="9.140625" style="339" customWidth="1"/>
    <col min="99" max="99" width="6.00390625" style="339" customWidth="1"/>
    <col min="100" max="100" width="9.140625" style="339" customWidth="1"/>
    <col min="101" max="101" width="6.7109375" style="339" customWidth="1"/>
    <col min="102" max="102" width="6.28125" style="339" customWidth="1"/>
    <col min="103" max="103" width="9.140625" style="339" customWidth="1"/>
    <col min="104" max="104" width="1.28515625" style="339" customWidth="1"/>
    <col min="105" max="141" width="9.140625" style="339" customWidth="1"/>
    <col min="142" max="185" width="9.140625" style="0" customWidth="1"/>
    <col min="186" max="186" width="5.421875" style="0" customWidth="1"/>
    <col min="187" max="234" width="9.140625" style="0" customWidth="1"/>
    <col min="235" max="236" width="3.28125" style="0" customWidth="1"/>
    <col min="237" max="237" width="4.421875" style="0" customWidth="1"/>
    <col min="238" max="238" width="5.57421875" style="0" customWidth="1"/>
    <col min="239" max="239" width="2.8515625" style="0" customWidth="1"/>
    <col min="240" max="240" width="3.140625" style="0" customWidth="1"/>
    <col min="241" max="241" width="5.00390625" style="0" customWidth="1"/>
    <col min="242" max="242" width="5.28125" style="0" customWidth="1"/>
    <col min="243" max="243" width="4.7109375" style="0" customWidth="1"/>
    <col min="244" max="244" width="4.57421875" style="0" customWidth="1"/>
    <col min="245" max="245" width="4.00390625" style="0" customWidth="1"/>
    <col min="246" max="246" width="4.7109375" style="0" customWidth="1"/>
    <col min="247" max="247" width="4.421875" style="0" customWidth="1"/>
    <col min="248" max="248" width="6.421875" style="0" customWidth="1"/>
    <col min="249" max="249" width="5.421875" style="0" customWidth="1"/>
    <col min="250" max="250" width="3.7109375" style="0" customWidth="1"/>
    <col min="251" max="251" width="2.57421875" style="0" customWidth="1"/>
    <col min="252" max="252" width="6.00390625" style="0" customWidth="1"/>
    <col min="253" max="253" width="3.28125" style="0" customWidth="1"/>
    <col min="254" max="254" width="2.421875" style="0" customWidth="1"/>
  </cols>
  <sheetData>
    <row r="1" spans="5:12" s="339" customFormat="1" ht="26.25" customHeight="1" thickBot="1">
      <c r="E1" s="450"/>
      <c r="F1" s="458" t="s">
        <v>566</v>
      </c>
      <c r="G1" s="459"/>
      <c r="H1" s="459"/>
      <c r="I1" s="459"/>
      <c r="J1" s="459"/>
      <c r="K1" s="459"/>
      <c r="L1" s="450"/>
    </row>
    <row r="2" spans="1:18" ht="27" thickBot="1">
      <c r="A2" s="347"/>
      <c r="B2" s="494" t="s">
        <v>467</v>
      </c>
      <c r="C2" s="495"/>
      <c r="D2" s="495"/>
      <c r="E2" s="495"/>
      <c r="F2" s="495"/>
      <c r="G2" s="495"/>
      <c r="H2" s="495"/>
      <c r="I2" s="495"/>
      <c r="J2" s="495"/>
      <c r="K2" s="495"/>
      <c r="L2" s="495"/>
      <c r="M2" s="496"/>
      <c r="N2" s="545"/>
      <c r="O2" s="546"/>
      <c r="P2" s="547"/>
      <c r="Q2" s="349"/>
      <c r="R2" s="350"/>
    </row>
    <row r="3" spans="1:18" ht="22.5" customHeight="1" thickBot="1">
      <c r="A3" s="348"/>
      <c r="B3" s="499" t="s">
        <v>396</v>
      </c>
      <c r="C3" s="500"/>
      <c r="D3" s="345"/>
      <c r="E3" s="497" t="s">
        <v>468</v>
      </c>
      <c r="F3" s="498"/>
      <c r="G3" s="467" t="s">
        <v>465</v>
      </c>
      <c r="H3" s="468"/>
      <c r="I3" s="346"/>
      <c r="J3" s="460" t="s">
        <v>565</v>
      </c>
      <c r="K3" s="460"/>
      <c r="L3" s="461"/>
      <c r="M3" s="300"/>
      <c r="N3" s="548"/>
      <c r="O3" s="549"/>
      <c r="P3" s="550"/>
      <c r="Q3" s="349"/>
      <c r="R3" s="350"/>
    </row>
    <row r="4" spans="1:19" ht="22.5" customHeight="1" thickBot="1" thickTop="1">
      <c r="A4" s="348"/>
      <c r="B4" s="501" t="s">
        <v>415</v>
      </c>
      <c r="C4" s="475"/>
      <c r="D4" s="98"/>
      <c r="E4" s="99"/>
      <c r="F4" s="102"/>
      <c r="G4" s="502" t="s">
        <v>392</v>
      </c>
      <c r="H4" s="503"/>
      <c r="I4" s="108"/>
      <c r="J4" s="462"/>
      <c r="K4" s="462"/>
      <c r="L4" s="463"/>
      <c r="M4" s="300"/>
      <c r="N4" s="548"/>
      <c r="O4" s="549"/>
      <c r="P4" s="550"/>
      <c r="Q4" s="351"/>
      <c r="R4" s="352"/>
      <c r="S4" s="353"/>
    </row>
    <row r="5" spans="1:141" s="1" customFormat="1" ht="22.5" customHeight="1" thickBot="1">
      <c r="A5" s="348"/>
      <c r="B5" s="474" t="s">
        <v>52</v>
      </c>
      <c r="C5" s="475"/>
      <c r="D5" s="98"/>
      <c r="E5" s="99"/>
      <c r="F5" s="124"/>
      <c r="G5" s="492" t="s">
        <v>473</v>
      </c>
      <c r="H5" s="493"/>
      <c r="I5" s="125"/>
      <c r="J5" s="462"/>
      <c r="K5" s="462"/>
      <c r="L5" s="463"/>
      <c r="M5" s="300"/>
      <c r="N5" s="548"/>
      <c r="O5" s="549"/>
      <c r="P5" s="550"/>
      <c r="Q5" s="349"/>
      <c r="R5" s="572" t="s">
        <v>95</v>
      </c>
      <c r="S5" s="573"/>
      <c r="T5" s="573"/>
      <c r="U5" s="573"/>
      <c r="V5" s="573"/>
      <c r="W5" s="573"/>
      <c r="X5" s="573"/>
      <c r="Y5" s="573"/>
      <c r="Z5" s="573"/>
      <c r="AA5" s="573"/>
      <c r="AB5" s="574"/>
      <c r="AC5" s="339"/>
      <c r="AD5" s="339"/>
      <c r="AE5" s="339"/>
      <c r="AF5" s="339"/>
      <c r="AG5" s="339"/>
      <c r="AH5" s="339"/>
      <c r="AI5" s="339"/>
      <c r="AJ5" s="339"/>
      <c r="AK5" s="339"/>
      <c r="AL5" s="339"/>
      <c r="AM5" s="339"/>
      <c r="AN5" s="339"/>
      <c r="AO5" s="339"/>
      <c r="AP5" s="339"/>
      <c r="AQ5" s="339"/>
      <c r="AR5" s="339"/>
      <c r="AS5" s="339"/>
      <c r="AT5" s="339"/>
      <c r="AU5" s="339"/>
      <c r="AV5" s="339"/>
      <c r="AW5" s="339"/>
      <c r="AX5" s="339"/>
      <c r="AY5" s="339"/>
      <c r="AZ5" s="339"/>
      <c r="BA5" s="339"/>
      <c r="BB5" s="339"/>
      <c r="BC5" s="339"/>
      <c r="BD5" s="339"/>
      <c r="BE5" s="339"/>
      <c r="BF5" s="339"/>
      <c r="BG5" s="339"/>
      <c r="BH5" s="339"/>
      <c r="BI5" s="339"/>
      <c r="BJ5" s="339"/>
      <c r="BK5" s="339"/>
      <c r="BL5" s="339"/>
      <c r="BM5" s="339"/>
      <c r="BN5" s="339"/>
      <c r="BO5" s="339"/>
      <c r="BP5" s="339"/>
      <c r="BQ5" s="339"/>
      <c r="BR5" s="339"/>
      <c r="BS5" s="339"/>
      <c r="BT5" s="339"/>
      <c r="BU5" s="339"/>
      <c r="BV5" s="339"/>
      <c r="BW5" s="339"/>
      <c r="BX5" s="339"/>
      <c r="BY5" s="339"/>
      <c r="BZ5" s="339"/>
      <c r="CA5" s="339"/>
      <c r="CB5" s="339"/>
      <c r="CC5" s="339"/>
      <c r="CD5" s="339"/>
      <c r="CE5" s="339"/>
      <c r="CF5" s="339"/>
      <c r="CG5" s="339"/>
      <c r="CH5" s="339"/>
      <c r="CI5" s="339"/>
      <c r="CJ5" s="339"/>
      <c r="CK5" s="339"/>
      <c r="CL5" s="339"/>
      <c r="CM5" s="339"/>
      <c r="CN5" s="339"/>
      <c r="CO5" s="339"/>
      <c r="CP5" s="339"/>
      <c r="CQ5" s="339"/>
      <c r="CR5" s="339"/>
      <c r="CS5" s="339"/>
      <c r="CT5" s="339"/>
      <c r="CU5" s="339"/>
      <c r="CV5" s="339"/>
      <c r="CW5" s="339"/>
      <c r="CX5" s="339"/>
      <c r="CY5" s="339"/>
      <c r="CZ5" s="339"/>
      <c r="DA5" s="339"/>
      <c r="DB5" s="339"/>
      <c r="DC5" s="339"/>
      <c r="DD5" s="339"/>
      <c r="DE5" s="339"/>
      <c r="DF5" s="339"/>
      <c r="DG5" s="339"/>
      <c r="DH5" s="339"/>
      <c r="DI5" s="339"/>
      <c r="DJ5" s="339"/>
      <c r="DK5" s="339"/>
      <c r="DL5" s="339"/>
      <c r="DM5" s="339"/>
      <c r="DN5" s="339"/>
      <c r="DO5" s="339"/>
      <c r="DP5" s="339"/>
      <c r="DQ5" s="339"/>
      <c r="DR5" s="339"/>
      <c r="DS5" s="339"/>
      <c r="DT5" s="339"/>
      <c r="DU5" s="339"/>
      <c r="DV5" s="339"/>
      <c r="DW5" s="339"/>
      <c r="DX5" s="339"/>
      <c r="DY5" s="339"/>
      <c r="DZ5" s="339"/>
      <c r="EA5" s="339"/>
      <c r="EB5" s="339"/>
      <c r="EC5" s="339"/>
      <c r="ED5" s="339"/>
      <c r="EE5" s="339"/>
      <c r="EF5" s="339"/>
      <c r="EG5" s="339"/>
      <c r="EH5" s="339"/>
      <c r="EI5" s="339"/>
      <c r="EJ5" s="339"/>
      <c r="EK5" s="339"/>
    </row>
    <row r="6" spans="1:31" ht="22.5" customHeight="1" thickBot="1">
      <c r="A6" s="348"/>
      <c r="B6" s="474" t="s">
        <v>0</v>
      </c>
      <c r="C6" s="475"/>
      <c r="D6" s="472" t="s">
        <v>519</v>
      </c>
      <c r="E6" s="473"/>
      <c r="F6" s="565" t="s">
        <v>474</v>
      </c>
      <c r="G6" s="566"/>
      <c r="H6" s="567">
        <v>25879643254569</v>
      </c>
      <c r="I6" s="568"/>
      <c r="J6" s="462"/>
      <c r="K6" s="462"/>
      <c r="L6" s="463"/>
      <c r="M6" s="300"/>
      <c r="N6" s="548"/>
      <c r="O6" s="549"/>
      <c r="P6" s="550"/>
      <c r="Q6" s="349"/>
      <c r="R6" s="422" t="s">
        <v>98</v>
      </c>
      <c r="S6" s="418"/>
      <c r="T6" s="418"/>
      <c r="U6" s="429">
        <v>2</v>
      </c>
      <c r="V6" s="429">
        <v>2</v>
      </c>
      <c r="W6" s="429">
        <v>0</v>
      </c>
      <c r="X6" s="430">
        <v>2</v>
      </c>
      <c r="Y6" s="582" t="s">
        <v>550</v>
      </c>
      <c r="Z6" s="583"/>
      <c r="AA6" s="583"/>
      <c r="AB6" s="584"/>
      <c r="AC6" s="354"/>
      <c r="AD6" s="354"/>
      <c r="AE6" s="354"/>
    </row>
    <row r="7" spans="1:31" ht="22.5" customHeight="1" thickBot="1">
      <c r="A7" s="348"/>
      <c r="B7" s="474" t="s">
        <v>518</v>
      </c>
      <c r="C7" s="475"/>
      <c r="D7" s="472" t="s">
        <v>475</v>
      </c>
      <c r="E7" s="473"/>
      <c r="F7" s="557" t="s">
        <v>548</v>
      </c>
      <c r="G7" s="558"/>
      <c r="H7" s="558"/>
      <c r="I7" s="158"/>
      <c r="J7" s="462"/>
      <c r="K7" s="462"/>
      <c r="L7" s="463"/>
      <c r="M7" s="300"/>
      <c r="N7" s="548"/>
      <c r="O7" s="549"/>
      <c r="P7" s="550"/>
      <c r="Q7" s="349"/>
      <c r="R7" s="423"/>
      <c r="S7" s="417"/>
      <c r="T7" s="417"/>
      <c r="U7" s="419"/>
      <c r="V7" s="419"/>
      <c r="W7" s="419"/>
      <c r="X7" s="419"/>
      <c r="Y7" s="419"/>
      <c r="Z7" s="419"/>
      <c r="AA7" s="419"/>
      <c r="AB7" s="424"/>
      <c r="AC7" s="354"/>
      <c r="AD7" s="354"/>
      <c r="AE7" s="354"/>
    </row>
    <row r="8" spans="1:31" ht="22.5" customHeight="1" thickBot="1">
      <c r="A8" s="348"/>
      <c r="B8" s="474" t="s">
        <v>397</v>
      </c>
      <c r="C8" s="475"/>
      <c r="D8" s="476" t="s">
        <v>398</v>
      </c>
      <c r="E8" s="477"/>
      <c r="F8" s="559" t="s">
        <v>549</v>
      </c>
      <c r="G8" s="560"/>
      <c r="H8" s="560"/>
      <c r="I8" s="159"/>
      <c r="J8" s="462"/>
      <c r="K8" s="462"/>
      <c r="L8" s="463"/>
      <c r="M8" s="451"/>
      <c r="N8" s="548"/>
      <c r="O8" s="549"/>
      <c r="P8" s="550"/>
      <c r="Q8" s="349"/>
      <c r="R8" s="422" t="s">
        <v>100</v>
      </c>
      <c r="S8" s="418"/>
      <c r="T8" s="418"/>
      <c r="U8" s="431">
        <v>0</v>
      </c>
      <c r="V8" s="431">
        <v>2</v>
      </c>
      <c r="W8" s="420"/>
      <c r="X8" s="575" t="s">
        <v>375</v>
      </c>
      <c r="Y8" s="525"/>
      <c r="Z8" s="525"/>
      <c r="AA8" s="525"/>
      <c r="AB8" s="526"/>
      <c r="AC8" s="354"/>
      <c r="AD8" s="354"/>
      <c r="AE8" s="354"/>
    </row>
    <row r="9" spans="1:31" ht="22.5" customHeight="1" thickBot="1">
      <c r="A9" s="348"/>
      <c r="B9" s="474" t="s">
        <v>1</v>
      </c>
      <c r="C9" s="475"/>
      <c r="D9" s="476" t="s">
        <v>399</v>
      </c>
      <c r="E9" s="477"/>
      <c r="F9" s="485" t="s">
        <v>566</v>
      </c>
      <c r="G9" s="486"/>
      <c r="H9" s="486"/>
      <c r="I9" s="487"/>
      <c r="J9" s="464" t="s">
        <v>566</v>
      </c>
      <c r="K9" s="465"/>
      <c r="L9" s="465"/>
      <c r="M9" s="466"/>
      <c r="N9" s="548"/>
      <c r="O9" s="549"/>
      <c r="P9" s="550"/>
      <c r="Q9" s="349"/>
      <c r="R9" s="423"/>
      <c r="S9" s="417"/>
      <c r="T9" s="417"/>
      <c r="U9" s="420"/>
      <c r="V9" s="420"/>
      <c r="W9" s="420"/>
      <c r="X9" s="419"/>
      <c r="Y9" s="419"/>
      <c r="Z9" s="419"/>
      <c r="AA9" s="419"/>
      <c r="AB9" s="424"/>
      <c r="AC9" s="354"/>
      <c r="AD9" s="354"/>
      <c r="AE9" s="354"/>
    </row>
    <row r="10" spans="1:141" s="1" customFormat="1" ht="22.5" customHeight="1" thickBot="1">
      <c r="A10" s="348"/>
      <c r="B10" s="474" t="s">
        <v>417</v>
      </c>
      <c r="C10" s="475"/>
      <c r="D10" s="100"/>
      <c r="E10" s="100"/>
      <c r="F10" s="528" t="str">
        <f>AD121</f>
        <v>Need not qualification &amp; Departmental tests Pass</v>
      </c>
      <c r="G10" s="529"/>
      <c r="H10" s="488" t="s">
        <v>447</v>
      </c>
      <c r="I10" s="489"/>
      <c r="J10" s="561" t="str">
        <f>Z121</f>
        <v>29  years 8 months  and 21 days. </v>
      </c>
      <c r="K10" s="562"/>
      <c r="L10" s="562"/>
      <c r="M10" s="562"/>
      <c r="N10" s="548"/>
      <c r="O10" s="549"/>
      <c r="P10" s="550"/>
      <c r="Q10" s="349"/>
      <c r="R10" s="422" t="s">
        <v>102</v>
      </c>
      <c r="S10" s="418"/>
      <c r="T10" s="418"/>
      <c r="U10" s="431">
        <v>1</v>
      </c>
      <c r="V10" s="431">
        <v>9</v>
      </c>
      <c r="W10" s="431">
        <v>1</v>
      </c>
      <c r="X10" s="585" t="s">
        <v>381</v>
      </c>
      <c r="Y10" s="586"/>
      <c r="Z10" s="586"/>
      <c r="AA10" s="586"/>
      <c r="AB10" s="587"/>
      <c r="AC10" s="354"/>
      <c r="AD10" s="354"/>
      <c r="AE10" s="354"/>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39"/>
      <c r="BC10" s="339"/>
      <c r="BD10" s="339"/>
      <c r="BE10" s="339"/>
      <c r="BF10" s="339"/>
      <c r="BG10" s="339"/>
      <c r="BH10" s="339"/>
      <c r="BI10" s="339"/>
      <c r="BJ10" s="339"/>
      <c r="BK10" s="339"/>
      <c r="BL10" s="339"/>
      <c r="BM10" s="339"/>
      <c r="BN10" s="339"/>
      <c r="BO10" s="339"/>
      <c r="BP10" s="339"/>
      <c r="BQ10" s="339"/>
      <c r="BR10" s="339"/>
      <c r="BS10" s="339"/>
      <c r="BT10" s="339"/>
      <c r="BU10" s="339"/>
      <c r="BV10" s="339"/>
      <c r="BW10" s="339"/>
      <c r="BX10" s="339"/>
      <c r="BY10" s="339"/>
      <c r="BZ10" s="339"/>
      <c r="CA10" s="339"/>
      <c r="CB10" s="339"/>
      <c r="CC10" s="339"/>
      <c r="CD10" s="339"/>
      <c r="CE10" s="339"/>
      <c r="CF10" s="339"/>
      <c r="CG10" s="339"/>
      <c r="CH10" s="339"/>
      <c r="CI10" s="339"/>
      <c r="CJ10" s="339"/>
      <c r="CK10" s="339"/>
      <c r="CL10" s="339"/>
      <c r="CM10" s="339"/>
      <c r="CN10" s="339"/>
      <c r="CO10" s="339"/>
      <c r="CP10" s="339"/>
      <c r="CQ10" s="339"/>
      <c r="CR10" s="339"/>
      <c r="CS10" s="339"/>
      <c r="CT10" s="339"/>
      <c r="CU10" s="339"/>
      <c r="CV10" s="339"/>
      <c r="CW10" s="339"/>
      <c r="CX10" s="339"/>
      <c r="CY10" s="339"/>
      <c r="CZ10" s="339"/>
      <c r="DA10" s="339"/>
      <c r="DB10" s="339"/>
      <c r="DC10" s="339"/>
      <c r="DD10" s="339"/>
      <c r="DE10" s="339"/>
      <c r="DF10" s="339"/>
      <c r="DG10" s="339"/>
      <c r="DH10" s="339"/>
      <c r="DI10" s="339"/>
      <c r="DJ10" s="339"/>
      <c r="DK10" s="339"/>
      <c r="DL10" s="339"/>
      <c r="DM10" s="339"/>
      <c r="DN10" s="339"/>
      <c r="DO10" s="339"/>
      <c r="DP10" s="339"/>
      <c r="DQ10" s="339"/>
      <c r="DR10" s="339"/>
      <c r="DS10" s="339"/>
      <c r="DT10" s="339"/>
      <c r="DU10" s="339"/>
      <c r="DV10" s="339"/>
      <c r="DW10" s="339"/>
      <c r="DX10" s="339"/>
      <c r="DY10" s="339"/>
      <c r="DZ10" s="339"/>
      <c r="EA10" s="339"/>
      <c r="EB10" s="339"/>
      <c r="EC10" s="339"/>
      <c r="ED10" s="339"/>
      <c r="EE10" s="339"/>
      <c r="EF10" s="339"/>
      <c r="EG10" s="339"/>
      <c r="EH10" s="339"/>
      <c r="EI10" s="339"/>
      <c r="EJ10" s="339"/>
      <c r="EK10" s="339"/>
    </row>
    <row r="11" spans="1:31" ht="22.5" customHeight="1" thickBot="1">
      <c r="A11" s="348"/>
      <c r="B11" s="483" t="s">
        <v>416</v>
      </c>
      <c r="C11" s="484"/>
      <c r="D11" s="101"/>
      <c r="E11" s="101"/>
      <c r="F11" s="530"/>
      <c r="G11" s="531"/>
      <c r="H11" s="490" t="s">
        <v>448</v>
      </c>
      <c r="I11" s="491"/>
      <c r="J11" s="534" t="str">
        <f>Z122</f>
        <v>13  years 0 months  and 10 days. </v>
      </c>
      <c r="K11" s="535"/>
      <c r="L11" s="536"/>
      <c r="M11" s="537"/>
      <c r="N11" s="548"/>
      <c r="O11" s="549"/>
      <c r="P11" s="550"/>
      <c r="R11" s="423"/>
      <c r="S11" s="417"/>
      <c r="T11" s="417"/>
      <c r="U11" s="420"/>
      <c r="V11" s="420"/>
      <c r="W11" s="420"/>
      <c r="X11" s="419"/>
      <c r="Y11" s="419"/>
      <c r="Z11" s="419"/>
      <c r="AA11" s="419"/>
      <c r="AB11" s="424"/>
      <c r="AC11" s="354"/>
      <c r="AD11" s="354"/>
      <c r="AE11" s="354"/>
    </row>
    <row r="12" spans="1:31" ht="22.5" customHeight="1" thickBot="1">
      <c r="A12" s="348"/>
      <c r="B12" s="508" t="s">
        <v>517</v>
      </c>
      <c r="C12" s="509"/>
      <c r="D12" s="107"/>
      <c r="E12" s="114"/>
      <c r="F12" s="532"/>
      <c r="G12" s="533"/>
      <c r="H12" s="569" t="str">
        <f>CONCATENATE("    Your  ",Q190," years scale  w.e.f ")</f>
        <v>    Your  12 years scale  w.e.f </v>
      </c>
      <c r="I12" s="570"/>
      <c r="J12" s="570"/>
      <c r="K12" s="571"/>
      <c r="L12" s="538">
        <f>AJ115</f>
        <v>41660</v>
      </c>
      <c r="M12" s="539"/>
      <c r="N12" s="548"/>
      <c r="O12" s="549"/>
      <c r="P12" s="550"/>
      <c r="Q12" s="349"/>
      <c r="R12" s="579" t="s">
        <v>104</v>
      </c>
      <c r="S12" s="580"/>
      <c r="T12" s="581"/>
      <c r="U12" s="431">
        <v>0</v>
      </c>
      <c r="V12" s="431">
        <v>0</v>
      </c>
      <c r="W12" s="421"/>
      <c r="X12" s="576"/>
      <c r="Y12" s="577"/>
      <c r="Z12" s="577"/>
      <c r="AA12" s="577"/>
      <c r="AB12" s="578"/>
      <c r="AC12" s="354"/>
      <c r="AD12" s="354"/>
      <c r="AE12" s="354"/>
    </row>
    <row r="13" spans="1:31" ht="22.5" customHeight="1" thickBot="1" thickTop="1">
      <c r="A13" s="347"/>
      <c r="B13" s="478" t="s">
        <v>400</v>
      </c>
      <c r="C13" s="479"/>
      <c r="D13" s="513">
        <v>938023</v>
      </c>
      <c r="E13" s="514"/>
      <c r="F13" s="515"/>
      <c r="G13" s="522" t="s">
        <v>401</v>
      </c>
      <c r="H13" s="523"/>
      <c r="I13" s="518"/>
      <c r="J13" s="519"/>
      <c r="K13" s="67" t="s">
        <v>378</v>
      </c>
      <c r="L13" s="105"/>
      <c r="M13" s="563" t="s">
        <v>471</v>
      </c>
      <c r="N13" s="548"/>
      <c r="O13" s="549"/>
      <c r="P13" s="550"/>
      <c r="Q13" s="349"/>
      <c r="R13" s="423"/>
      <c r="S13" s="417"/>
      <c r="T13" s="417"/>
      <c r="U13" s="421"/>
      <c r="V13" s="421"/>
      <c r="W13" s="421"/>
      <c r="X13" s="419"/>
      <c r="Y13" s="419"/>
      <c r="Z13" s="419"/>
      <c r="AA13" s="419"/>
      <c r="AB13" s="424"/>
      <c r="AC13" s="354"/>
      <c r="AD13" s="354"/>
      <c r="AE13" s="354"/>
    </row>
    <row r="14" spans="1:31" ht="22.5" customHeight="1" thickBot="1">
      <c r="A14" s="347"/>
      <c r="B14" s="478" t="s">
        <v>402</v>
      </c>
      <c r="C14" s="479"/>
      <c r="D14" s="480" t="s">
        <v>520</v>
      </c>
      <c r="E14" s="481"/>
      <c r="F14" s="482"/>
      <c r="G14" s="478" t="s">
        <v>403</v>
      </c>
      <c r="H14" s="504"/>
      <c r="I14" s="516" t="s">
        <v>399</v>
      </c>
      <c r="J14" s="517"/>
      <c r="K14" s="111" t="s">
        <v>377</v>
      </c>
      <c r="L14" s="109">
        <v>63.344</v>
      </c>
      <c r="M14" s="564"/>
      <c r="N14" s="548"/>
      <c r="O14" s="549"/>
      <c r="P14" s="550"/>
      <c r="Q14" s="349"/>
      <c r="R14" s="422" t="s">
        <v>106</v>
      </c>
      <c r="S14" s="418"/>
      <c r="T14" s="418"/>
      <c r="U14" s="431">
        <v>0</v>
      </c>
      <c r="V14" s="431">
        <v>5</v>
      </c>
      <c r="W14" s="524" t="s">
        <v>382</v>
      </c>
      <c r="X14" s="525"/>
      <c r="Y14" s="525"/>
      <c r="Z14" s="525"/>
      <c r="AA14" s="525"/>
      <c r="AB14" s="526"/>
      <c r="AC14" s="354"/>
      <c r="AD14" s="354"/>
      <c r="AE14" s="354"/>
    </row>
    <row r="15" spans="1:31" ht="22.5" customHeight="1" thickBot="1">
      <c r="A15" s="347"/>
      <c r="B15" s="478" t="s">
        <v>404</v>
      </c>
      <c r="C15" s="504"/>
      <c r="D15" s="106"/>
      <c r="E15" s="516" t="s">
        <v>461</v>
      </c>
      <c r="F15" s="517"/>
      <c r="G15" s="520" t="s">
        <v>411</v>
      </c>
      <c r="H15" s="521"/>
      <c r="I15" s="516">
        <v>11164896825</v>
      </c>
      <c r="J15" s="517"/>
      <c r="K15" s="68" t="s">
        <v>2</v>
      </c>
      <c r="L15" s="103" t="s">
        <v>43</v>
      </c>
      <c r="M15" s="301">
        <v>72</v>
      </c>
      <c r="N15" s="548"/>
      <c r="O15" s="549"/>
      <c r="P15" s="550"/>
      <c r="Q15" s="349"/>
      <c r="R15" s="423"/>
      <c r="S15" s="417"/>
      <c r="T15" s="417"/>
      <c r="U15" s="421"/>
      <c r="V15" s="421"/>
      <c r="W15" s="421"/>
      <c r="X15" s="419"/>
      <c r="Y15" s="419"/>
      <c r="Z15" s="419"/>
      <c r="AA15" s="419"/>
      <c r="AB15" s="424"/>
      <c r="AC15" s="354"/>
      <c r="AD15" s="354"/>
      <c r="AE15" s="354"/>
    </row>
    <row r="16" spans="1:31" ht="22.5" customHeight="1" thickBot="1">
      <c r="A16" s="347"/>
      <c r="B16" s="478" t="s">
        <v>163</v>
      </c>
      <c r="C16" s="504"/>
      <c r="D16" s="505" t="s">
        <v>552</v>
      </c>
      <c r="E16" s="506"/>
      <c r="F16" s="507"/>
      <c r="G16" s="478" t="s">
        <v>405</v>
      </c>
      <c r="H16" s="504"/>
      <c r="I16" s="516" t="s">
        <v>272</v>
      </c>
      <c r="J16" s="517"/>
      <c r="K16" s="478" t="s">
        <v>406</v>
      </c>
      <c r="L16" s="504"/>
      <c r="M16" s="224" t="s">
        <v>554</v>
      </c>
      <c r="N16" s="548"/>
      <c r="O16" s="549"/>
      <c r="P16" s="550"/>
      <c r="Q16" s="349"/>
      <c r="R16" s="422" t="s">
        <v>108</v>
      </c>
      <c r="S16" s="418"/>
      <c r="T16" s="418"/>
      <c r="U16" s="431">
        <v>0</v>
      </c>
      <c r="V16" s="431">
        <v>1</v>
      </c>
      <c r="W16" s="431">
        <v>0</v>
      </c>
      <c r="X16" s="432" t="s">
        <v>109</v>
      </c>
      <c r="Y16" s="433"/>
      <c r="Z16" s="433"/>
      <c r="AA16" s="433"/>
      <c r="AB16" s="434"/>
      <c r="AC16" s="354"/>
      <c r="AD16" s="354"/>
      <c r="AE16" s="354"/>
    </row>
    <row r="17" spans="1:28" ht="22.5" customHeight="1" thickBot="1">
      <c r="A17" s="347"/>
      <c r="B17" s="478" t="s">
        <v>407</v>
      </c>
      <c r="C17" s="504"/>
      <c r="D17" s="510" t="s">
        <v>482</v>
      </c>
      <c r="E17" s="511"/>
      <c r="F17" s="512"/>
      <c r="G17" s="478" t="s">
        <v>408</v>
      </c>
      <c r="H17" s="504"/>
      <c r="I17" s="505" t="s">
        <v>553</v>
      </c>
      <c r="J17" s="507"/>
      <c r="K17" s="478" t="s">
        <v>409</v>
      </c>
      <c r="L17" s="504"/>
      <c r="M17" s="103" t="s">
        <v>410</v>
      </c>
      <c r="N17" s="548"/>
      <c r="O17" s="549"/>
      <c r="P17" s="550"/>
      <c r="Q17" s="349"/>
      <c r="R17" s="425"/>
      <c r="S17" s="426"/>
      <c r="T17" s="426"/>
      <c r="U17" s="427"/>
      <c r="V17" s="427"/>
      <c r="W17" s="427"/>
      <c r="X17" s="427"/>
      <c r="Y17" s="427"/>
      <c r="Z17" s="427"/>
      <c r="AA17" s="427"/>
      <c r="AB17" s="428"/>
    </row>
    <row r="18" spans="1:18" ht="21" customHeight="1" thickBot="1">
      <c r="A18" s="347"/>
      <c r="B18" s="478" t="s">
        <v>412</v>
      </c>
      <c r="C18" s="504"/>
      <c r="D18" s="480" t="s">
        <v>475</v>
      </c>
      <c r="E18" s="481"/>
      <c r="F18" s="482"/>
      <c r="G18" s="111" t="s">
        <v>413</v>
      </c>
      <c r="H18" s="111"/>
      <c r="I18" s="104" t="s">
        <v>556</v>
      </c>
      <c r="J18" s="299" t="s">
        <v>555</v>
      </c>
      <c r="K18" s="112" t="s">
        <v>414</v>
      </c>
      <c r="L18" s="113"/>
      <c r="M18" s="123" t="s">
        <v>399</v>
      </c>
      <c r="N18" s="548"/>
      <c r="O18" s="549"/>
      <c r="P18" s="550"/>
      <c r="Q18" s="349"/>
      <c r="R18" s="350"/>
    </row>
    <row r="19" spans="2:16" ht="21" customHeight="1" thickBot="1">
      <c r="B19" s="540" t="s">
        <v>90</v>
      </c>
      <c r="C19" s="541"/>
      <c r="D19" s="542" t="s">
        <v>564</v>
      </c>
      <c r="E19" s="543"/>
      <c r="F19" s="544"/>
      <c r="G19" s="540" t="s">
        <v>557</v>
      </c>
      <c r="H19" s="554"/>
      <c r="I19" s="555"/>
      <c r="J19" s="556"/>
      <c r="K19" s="454" t="s">
        <v>568</v>
      </c>
      <c r="L19" s="455"/>
      <c r="M19" s="456" t="s">
        <v>569</v>
      </c>
      <c r="N19" s="551"/>
      <c r="O19" s="552"/>
      <c r="P19" s="553"/>
    </row>
    <row r="20" spans="2:16" ht="27.75" thickBot="1" thickTop="1">
      <c r="B20" s="469" t="s">
        <v>567</v>
      </c>
      <c r="C20" s="470"/>
      <c r="D20" s="470"/>
      <c r="E20" s="470"/>
      <c r="F20" s="470"/>
      <c r="G20" s="470"/>
      <c r="H20" s="470"/>
      <c r="I20" s="470"/>
      <c r="J20" s="470"/>
      <c r="K20" s="470"/>
      <c r="L20" s="470"/>
      <c r="M20" s="470"/>
      <c r="N20" s="470"/>
      <c r="O20" s="470"/>
      <c r="P20" s="471"/>
    </row>
    <row r="21" s="339" customFormat="1" ht="15.75" thickTop="1">
      <c r="E21" s="435"/>
    </row>
    <row r="22" s="339" customFormat="1" ht="15"/>
    <row r="23" s="339" customFormat="1" ht="15"/>
    <row r="24" s="339" customFormat="1" ht="15">
      <c r="H24" s="435"/>
    </row>
    <row r="25" s="339" customFormat="1" ht="15"/>
    <row r="26" s="339" customFormat="1" ht="15"/>
    <row r="27" s="339" customFormat="1" ht="15"/>
    <row r="28" s="339" customFormat="1" ht="15"/>
    <row r="29" s="339" customFormat="1" ht="15"/>
    <row r="30" s="339" customFormat="1" ht="15"/>
    <row r="31" s="339" customFormat="1" ht="15"/>
    <row r="32" s="339" customFormat="1" ht="15"/>
    <row r="33" s="339" customFormat="1" ht="15"/>
    <row r="34" s="339" customFormat="1" ht="15"/>
    <row r="35" s="339" customFormat="1" ht="15"/>
    <row r="36" s="339" customFormat="1" ht="15"/>
    <row r="37" s="339" customFormat="1" ht="15"/>
    <row r="38" s="339" customFormat="1" ht="15"/>
    <row r="39" s="339" customFormat="1" ht="15"/>
    <row r="40" s="339" customFormat="1" ht="15"/>
    <row r="41" s="339" customFormat="1" ht="15"/>
    <row r="42" s="339" customFormat="1" ht="15"/>
    <row r="43" s="339" customFormat="1" ht="15"/>
    <row r="44" s="339" customFormat="1" ht="15"/>
    <row r="45" s="339" customFormat="1" ht="15"/>
    <row r="46" s="339" customFormat="1" ht="15"/>
    <row r="47" s="339" customFormat="1" ht="15"/>
    <row r="48" s="339" customFormat="1" ht="15"/>
    <row r="49" s="339" customFormat="1" ht="15"/>
    <row r="50" s="339" customFormat="1" ht="15"/>
    <row r="51" s="339" customFormat="1" ht="15"/>
    <row r="52" s="339" customFormat="1" ht="15"/>
    <row r="53" s="339" customFormat="1" ht="15"/>
    <row r="54" s="339" customFormat="1" ht="15"/>
    <row r="55" s="339" customFormat="1" ht="15"/>
    <row r="56" s="339" customFormat="1" ht="15"/>
    <row r="57" s="339" customFormat="1" ht="15"/>
    <row r="58" s="339" customFormat="1" ht="15"/>
    <row r="59" s="339" customFormat="1" ht="15"/>
    <row r="60" s="339" customFormat="1" ht="15"/>
    <row r="61" s="339" customFormat="1" ht="15"/>
    <row r="62" s="339" customFormat="1" ht="15"/>
    <row r="63" s="339" customFormat="1" ht="15"/>
    <row r="64" s="339" customFormat="1" ht="15"/>
    <row r="65" s="339" customFormat="1" ht="15"/>
    <row r="66" s="339" customFormat="1" ht="15"/>
    <row r="67" s="339" customFormat="1" ht="15"/>
    <row r="68" s="339" customFormat="1" ht="15"/>
    <row r="69" s="339" customFormat="1" ht="15"/>
    <row r="70" s="339" customFormat="1" ht="15"/>
    <row r="71" s="339" customFormat="1" ht="15"/>
    <row r="72" s="339" customFormat="1" ht="15"/>
    <row r="73" s="339" customFormat="1" ht="15"/>
    <row r="74" s="339" customFormat="1" ht="15"/>
    <row r="75" s="339" customFormat="1" ht="15"/>
    <row r="76" s="339" customFormat="1" ht="15"/>
    <row r="77" s="339" customFormat="1" ht="15"/>
    <row r="78" s="339" customFormat="1" ht="15"/>
    <row r="79" s="339" customFormat="1" ht="15"/>
    <row r="80" s="339" customFormat="1" ht="15"/>
    <row r="81" s="339" customFormat="1" ht="15"/>
    <row r="82" s="339" customFormat="1" ht="15"/>
    <row r="83" s="339" customFormat="1" ht="15"/>
    <row r="84" s="339" customFormat="1" ht="15"/>
    <row r="85" s="339" customFormat="1" ht="15"/>
    <row r="86" spans="36:37" s="339" customFormat="1" ht="15">
      <c r="AJ86" s="339">
        <v>1</v>
      </c>
      <c r="AK86" s="339">
        <v>31</v>
      </c>
    </row>
    <row r="87" spans="36:37" s="339" customFormat="1" ht="15">
      <c r="AJ87" s="339">
        <v>2</v>
      </c>
      <c r="AK87" s="339">
        <v>28</v>
      </c>
    </row>
    <row r="88" spans="36:37" s="339" customFormat="1" ht="15">
      <c r="AJ88" s="339">
        <v>3</v>
      </c>
      <c r="AK88" s="339">
        <v>31</v>
      </c>
    </row>
    <row r="89" spans="36:37" s="339" customFormat="1" ht="15">
      <c r="AJ89" s="339">
        <v>4</v>
      </c>
      <c r="AK89" s="339">
        <v>30</v>
      </c>
    </row>
    <row r="90" spans="36:37" s="339" customFormat="1" ht="15">
      <c r="AJ90" s="339">
        <v>5</v>
      </c>
      <c r="AK90" s="339">
        <v>31</v>
      </c>
    </row>
    <row r="91" spans="36:37" s="339" customFormat="1" ht="15">
      <c r="AJ91" s="339">
        <v>6</v>
      </c>
      <c r="AK91" s="339">
        <v>30</v>
      </c>
    </row>
    <row r="92" spans="36:37" s="339" customFormat="1" ht="15">
      <c r="AJ92" s="339">
        <v>7</v>
      </c>
      <c r="AK92" s="339">
        <v>31</v>
      </c>
    </row>
    <row r="93" spans="36:37" s="339" customFormat="1" ht="15">
      <c r="AJ93" s="339">
        <v>8</v>
      </c>
      <c r="AK93" s="339">
        <v>31</v>
      </c>
    </row>
    <row r="94" spans="36:37" s="339" customFormat="1" ht="15">
      <c r="AJ94" s="339">
        <v>9</v>
      </c>
      <c r="AK94" s="339">
        <v>30</v>
      </c>
    </row>
    <row r="95" spans="36:37" s="339" customFormat="1" ht="15">
      <c r="AJ95" s="339">
        <v>10</v>
      </c>
      <c r="AK95" s="339">
        <v>31</v>
      </c>
    </row>
    <row r="96" spans="36:37" s="339" customFormat="1" ht="15" hidden="1">
      <c r="AJ96" s="339">
        <v>11</v>
      </c>
      <c r="AK96" s="339">
        <v>30</v>
      </c>
    </row>
    <row r="97" spans="36:37" s="339" customFormat="1" ht="15" hidden="1">
      <c r="AJ97" s="339">
        <v>12</v>
      </c>
      <c r="AK97" s="339">
        <v>31</v>
      </c>
    </row>
    <row r="98" spans="37:42" s="339" customFormat="1" ht="15" hidden="1">
      <c r="AK98" s="339">
        <f>VLOOKUP(AL104,AJ86:AK97,2,TRUE)</f>
        <v>31</v>
      </c>
      <c r="AM98" s="339">
        <v>1</v>
      </c>
      <c r="AN98" s="339">
        <v>6</v>
      </c>
      <c r="AO98" s="339">
        <v>35.952</v>
      </c>
      <c r="AP98" s="339">
        <v>12</v>
      </c>
    </row>
    <row r="99" spans="39:42" s="339" customFormat="1" ht="15" hidden="1">
      <c r="AM99" s="339">
        <v>2</v>
      </c>
      <c r="AN99" s="339">
        <v>12</v>
      </c>
      <c r="AO99" s="339">
        <v>41.992</v>
      </c>
      <c r="AP99" s="339">
        <v>14.5</v>
      </c>
    </row>
    <row r="100" spans="18:42" s="339" customFormat="1" ht="15" hidden="1">
      <c r="R100" s="339">
        <v>1960</v>
      </c>
      <c r="AM100" s="339">
        <v>3</v>
      </c>
      <c r="AN100" s="339">
        <v>18</v>
      </c>
      <c r="AO100" s="339">
        <v>47.936</v>
      </c>
      <c r="AP100" s="339">
        <v>20</v>
      </c>
    </row>
    <row r="101" spans="15:51" s="339" customFormat="1" ht="15" hidden="1">
      <c r="O101" s="339">
        <v>1</v>
      </c>
      <c r="R101" s="339">
        <v>1961</v>
      </c>
      <c r="AM101" s="339">
        <v>4</v>
      </c>
      <c r="AN101" s="339">
        <v>24</v>
      </c>
      <c r="AP101" s="339">
        <v>30</v>
      </c>
      <c r="AV101" s="339">
        <f>IF(AT115&gt;=20000,200,IF(AT115&gt;=15000,150,0))</f>
        <v>0</v>
      </c>
      <c r="AW101" s="339">
        <f>IF(AO115="",0,AV101)</f>
        <v>0</v>
      </c>
      <c r="AX101" s="339">
        <f>IF(AY115&gt;=20000,200,IF(AY115&gt;=15000,150,0))</f>
        <v>0</v>
      </c>
      <c r="AY101" s="339">
        <f>IF(AO115="",0,AX101)</f>
        <v>0</v>
      </c>
    </row>
    <row r="102" spans="15:51" s="339" customFormat="1" ht="15.75" hidden="1" thickBot="1">
      <c r="O102" s="339">
        <v>2</v>
      </c>
      <c r="R102" s="339">
        <v>1962</v>
      </c>
      <c r="AN102" s="353">
        <v>1</v>
      </c>
      <c r="AO102" s="353">
        <v>3</v>
      </c>
      <c r="AP102" s="353">
        <v>1</v>
      </c>
      <c r="AV102" s="339">
        <f aca="true" t="shared" si="0" ref="AV102:AV112">IF(AT116&gt;=20000,200,IF(AT116&gt;=15000,150,0))</f>
        <v>0</v>
      </c>
      <c r="AW102" s="339">
        <f aca="true" t="shared" si="1" ref="AW102:AW112">IF(AO116="",0,AV102)</f>
        <v>0</v>
      </c>
      <c r="AX102" s="339">
        <f aca="true" t="shared" si="2" ref="AX102:AX112">IF(AY116&gt;=20000,200,IF(AY116&gt;=15000,150,0))</f>
        <v>0</v>
      </c>
      <c r="AY102" s="339">
        <f aca="true" t="shared" si="3" ref="AY102:AY112">IF(AO116="",0,AX102)</f>
        <v>0</v>
      </c>
    </row>
    <row r="103" spans="15:51" s="339" customFormat="1" ht="15.75" hidden="1" thickTop="1">
      <c r="O103" s="339">
        <v>3</v>
      </c>
      <c r="R103" s="339">
        <v>1963</v>
      </c>
      <c r="U103" s="339">
        <v>1</v>
      </c>
      <c r="V103" s="339" t="s">
        <v>4</v>
      </c>
      <c r="W103" s="339">
        <v>1</v>
      </c>
      <c r="X103" s="339" t="s">
        <v>7</v>
      </c>
      <c r="Y103" s="355"/>
      <c r="Z103" s="356"/>
      <c r="AA103" s="356"/>
      <c r="AB103" s="356"/>
      <c r="AC103" s="356">
        <f>AC105/12</f>
        <v>0</v>
      </c>
      <c r="AD103" s="356">
        <f>AC103*100</f>
        <v>0</v>
      </c>
      <c r="AE103" s="356">
        <f>INT(AD103/100)</f>
        <v>0</v>
      </c>
      <c r="AF103" s="356">
        <f>INT(AD103)-AE103*100</f>
        <v>0</v>
      </c>
      <c r="AG103" s="357">
        <f>ROUND(AF103/8,0)</f>
        <v>0</v>
      </c>
      <c r="AN103" s="339">
        <f>VLOOKUP(AN102,AM98:AN101,2,FALSE)</f>
        <v>6</v>
      </c>
      <c r="AO103" s="339">
        <f>L14</f>
        <v>63.344</v>
      </c>
      <c r="AP103" s="339">
        <f>VLOOKUP(AP102,AM98:AP101,4,FALSE)</f>
        <v>12</v>
      </c>
      <c r="AV103" s="339">
        <f t="shared" si="0"/>
        <v>0</v>
      </c>
      <c r="AW103" s="339">
        <f t="shared" si="1"/>
        <v>0</v>
      </c>
      <c r="AX103" s="339">
        <f t="shared" si="2"/>
        <v>0</v>
      </c>
      <c r="AY103" s="339">
        <f t="shared" si="3"/>
        <v>0</v>
      </c>
    </row>
    <row r="104" spans="15:51" s="339" customFormat="1" ht="15" hidden="1">
      <c r="O104" s="339">
        <v>4</v>
      </c>
      <c r="R104" s="339">
        <v>1964</v>
      </c>
      <c r="U104" s="339">
        <v>2</v>
      </c>
      <c r="V104" s="339" t="s">
        <v>458</v>
      </c>
      <c r="W104" s="339">
        <v>2</v>
      </c>
      <c r="X104" s="339" t="s">
        <v>8</v>
      </c>
      <c r="Y104" s="358"/>
      <c r="Z104" s="359"/>
      <c r="AA104" s="359"/>
      <c r="AB104" s="359"/>
      <c r="AC104" s="359" t="s">
        <v>424</v>
      </c>
      <c r="AD104" s="359"/>
      <c r="AE104" s="359"/>
      <c r="AF104" s="359" t="s">
        <v>44</v>
      </c>
      <c r="AG104" s="360"/>
      <c r="AK104" s="353">
        <v>21</v>
      </c>
      <c r="AL104" s="353">
        <v>1</v>
      </c>
      <c r="AM104" s="353">
        <v>18</v>
      </c>
      <c r="AV104" s="339">
        <f t="shared" si="0"/>
        <v>200</v>
      </c>
      <c r="AW104" s="339">
        <f t="shared" si="1"/>
        <v>0</v>
      </c>
      <c r="AX104" s="339">
        <f t="shared" si="2"/>
        <v>200</v>
      </c>
      <c r="AY104" s="339">
        <f t="shared" si="3"/>
        <v>0</v>
      </c>
    </row>
    <row r="105" spans="15:51" s="339" customFormat="1" ht="15" hidden="1">
      <c r="O105" s="339">
        <v>5</v>
      </c>
      <c r="R105" s="339">
        <v>1965</v>
      </c>
      <c r="U105" s="339">
        <v>3</v>
      </c>
      <c r="V105" s="339" t="s">
        <v>19</v>
      </c>
      <c r="W105" s="339">
        <v>2</v>
      </c>
      <c r="X105" s="339" t="s">
        <v>9</v>
      </c>
      <c r="Y105" s="358" t="s">
        <v>423</v>
      </c>
      <c r="Z105" s="359">
        <f>I3</f>
        <v>0</v>
      </c>
      <c r="AA105" s="359">
        <f>Z105/30</f>
        <v>0</v>
      </c>
      <c r="AB105" s="359">
        <f>INT(AA105*100)</f>
        <v>0</v>
      </c>
      <c r="AC105" s="359">
        <f>INT(AB105/100)</f>
        <v>0</v>
      </c>
      <c r="AD105" s="359">
        <f>INT(AB105-AC105*100)</f>
        <v>0</v>
      </c>
      <c r="AE105" s="359">
        <f>MROUND(AD105*3,10)</f>
        <v>0</v>
      </c>
      <c r="AF105" s="359">
        <f>ROUND(INT(AE105/10),0)</f>
        <v>0</v>
      </c>
      <c r="AG105" s="360"/>
      <c r="AJ105" s="361">
        <f ca="1">TODAY()</f>
        <v>42035</v>
      </c>
      <c r="AV105" s="339">
        <f t="shared" si="0"/>
        <v>200</v>
      </c>
      <c r="AW105" s="339">
        <f t="shared" si="1"/>
        <v>0</v>
      </c>
      <c r="AX105" s="339">
        <f t="shared" si="2"/>
        <v>200</v>
      </c>
      <c r="AY105" s="339">
        <f t="shared" si="3"/>
        <v>0</v>
      </c>
    </row>
    <row r="106" spans="15:51" s="339" customFormat="1" ht="15" hidden="1">
      <c r="O106" s="339">
        <v>6</v>
      </c>
      <c r="R106" s="339">
        <v>1966</v>
      </c>
      <c r="U106" s="339">
        <v>4</v>
      </c>
      <c r="V106" s="339" t="s">
        <v>20</v>
      </c>
      <c r="W106" s="339">
        <v>2</v>
      </c>
      <c r="X106" s="339" t="s">
        <v>10</v>
      </c>
      <c r="Y106" s="358"/>
      <c r="Z106" s="359" t="str">
        <f>CONCATENATE(AE103,"  years ",AG103,"  months  ",AF105,"   days")</f>
        <v>0  years 0  months  0   days</v>
      </c>
      <c r="AA106" s="359"/>
      <c r="AB106" s="359"/>
      <c r="AC106" s="359"/>
      <c r="AD106" s="359"/>
      <c r="AE106" s="359"/>
      <c r="AF106" s="359"/>
      <c r="AG106" s="360"/>
      <c r="AK106" s="339">
        <f>AL104</f>
        <v>1</v>
      </c>
      <c r="AN106" s="362" t="s">
        <v>42</v>
      </c>
      <c r="AV106" s="339">
        <f t="shared" si="0"/>
        <v>200</v>
      </c>
      <c r="AW106" s="339">
        <f t="shared" si="1"/>
        <v>0</v>
      </c>
      <c r="AX106" s="339">
        <f t="shared" si="2"/>
        <v>200</v>
      </c>
      <c r="AY106" s="339">
        <f t="shared" si="3"/>
        <v>0</v>
      </c>
    </row>
    <row r="107" spans="15:51" s="339" customFormat="1" ht="15" hidden="1">
      <c r="O107" s="339">
        <v>7</v>
      </c>
      <c r="P107" s="339" t="s">
        <v>7</v>
      </c>
      <c r="Q107" s="339">
        <v>1</v>
      </c>
      <c r="R107" s="339">
        <v>1967</v>
      </c>
      <c r="U107" s="339">
        <v>5</v>
      </c>
      <c r="V107" s="339" t="s">
        <v>21</v>
      </c>
      <c r="W107" s="339">
        <v>2</v>
      </c>
      <c r="X107" s="339" t="s">
        <v>11</v>
      </c>
      <c r="Y107" s="358"/>
      <c r="Z107" s="363"/>
      <c r="AA107" s="359"/>
      <c r="AB107" s="359"/>
      <c r="AC107" s="359"/>
      <c r="AD107" s="359"/>
      <c r="AE107" s="359"/>
      <c r="AF107" s="359"/>
      <c r="AG107" s="360"/>
      <c r="AI107" s="339" t="s">
        <v>29</v>
      </c>
      <c r="AJ107" s="339">
        <f>AK104</f>
        <v>21</v>
      </c>
      <c r="AK107" s="339" t="str">
        <f>VLOOKUP(AK106,U103:X114,4,FALSE)</f>
        <v>Jan</v>
      </c>
      <c r="AL107" s="339">
        <f>VLOOKUP(AM104,L125:R152,7,FALSE)</f>
        <v>2002</v>
      </c>
      <c r="AM107" s="339">
        <f>DATEDIF(AJ108,AJ105,"Y")</f>
        <v>13</v>
      </c>
      <c r="AN107" s="339">
        <f>IF(AM107&gt;=24,AF113,IF(AM107&gt;=18,AF112,IF(AM107&gt;=12,AF111,AF110)))</f>
        <v>12</v>
      </c>
      <c r="AV107" s="339">
        <f t="shared" si="0"/>
        <v>200</v>
      </c>
      <c r="AW107" s="339">
        <f t="shared" si="1"/>
        <v>0</v>
      </c>
      <c r="AX107" s="339">
        <f t="shared" si="2"/>
        <v>200</v>
      </c>
      <c r="AY107" s="339">
        <f t="shared" si="3"/>
        <v>0</v>
      </c>
    </row>
    <row r="108" spans="15:51" s="339" customFormat="1" ht="15.75" hidden="1" thickBot="1">
      <c r="O108" s="339">
        <v>8</v>
      </c>
      <c r="P108" s="339" t="s">
        <v>8</v>
      </c>
      <c r="Q108" s="339">
        <v>2</v>
      </c>
      <c r="R108" s="339">
        <v>1968</v>
      </c>
      <c r="U108" s="339">
        <v>6</v>
      </c>
      <c r="V108" s="339" t="s">
        <v>22</v>
      </c>
      <c r="W108" s="339">
        <v>2</v>
      </c>
      <c r="X108" s="339" t="s">
        <v>12</v>
      </c>
      <c r="Y108" s="364"/>
      <c r="Z108" s="365"/>
      <c r="AA108" s="366"/>
      <c r="AB108" s="367">
        <f>DATE(YEAR(AK112)+AE103,MONTH(AK112)+AG103,DAY(AK112)+AF105)</f>
        <v>41660</v>
      </c>
      <c r="AC108" s="365"/>
      <c r="AD108" s="365"/>
      <c r="AE108" s="365"/>
      <c r="AF108" s="365"/>
      <c r="AG108" s="368"/>
      <c r="AJ108" s="361">
        <f>DATE(AL107,AK106,AJ107)</f>
        <v>37277</v>
      </c>
      <c r="AK108" s="339" t="str">
        <f>TEXT(AJ108,"DD/MM/YYYYY")</f>
        <v>21/01/2002</v>
      </c>
      <c r="AV108" s="339">
        <f t="shared" si="0"/>
        <v>200</v>
      </c>
      <c r="AW108" s="339">
        <f t="shared" si="1"/>
        <v>0</v>
      </c>
      <c r="AX108" s="339">
        <f t="shared" si="2"/>
        <v>200</v>
      </c>
      <c r="AY108" s="339">
        <f t="shared" si="3"/>
        <v>0</v>
      </c>
    </row>
    <row r="109" spans="15:51" s="339" customFormat="1" ht="16.5" hidden="1" thickBot="1" thickTop="1">
      <c r="O109" s="339">
        <v>9</v>
      </c>
      <c r="P109" s="339" t="s">
        <v>9</v>
      </c>
      <c r="Q109" s="339">
        <v>3</v>
      </c>
      <c r="R109" s="339">
        <v>1969</v>
      </c>
      <c r="U109" s="339">
        <v>7</v>
      </c>
      <c r="V109" s="339" t="s">
        <v>23</v>
      </c>
      <c r="W109" s="339">
        <v>2</v>
      </c>
      <c r="X109" s="339" t="s">
        <v>13</v>
      </c>
      <c r="AV109" s="339">
        <f t="shared" si="0"/>
        <v>200</v>
      </c>
      <c r="AW109" s="339">
        <f t="shared" si="1"/>
        <v>0</v>
      </c>
      <c r="AX109" s="339">
        <f t="shared" si="2"/>
        <v>200</v>
      </c>
      <c r="AY109" s="339">
        <f t="shared" si="3"/>
        <v>0</v>
      </c>
    </row>
    <row r="110" spans="15:51" s="339" customFormat="1" ht="15.75" hidden="1" thickTop="1">
      <c r="O110" s="339">
        <v>10</v>
      </c>
      <c r="P110" s="339" t="s">
        <v>10</v>
      </c>
      <c r="Q110" s="339">
        <v>4</v>
      </c>
      <c r="R110" s="339">
        <v>1970</v>
      </c>
      <c r="U110" s="339">
        <v>8</v>
      </c>
      <c r="V110" s="339" t="s">
        <v>24</v>
      </c>
      <c r="W110" s="339">
        <v>2</v>
      </c>
      <c r="X110" s="339" t="s">
        <v>14</v>
      </c>
      <c r="AA110" s="369"/>
      <c r="AB110" s="370">
        <v>3</v>
      </c>
      <c r="AC110" s="371"/>
      <c r="AD110" s="371"/>
      <c r="AE110" s="372"/>
      <c r="AF110" s="339">
        <v>6</v>
      </c>
      <c r="AI110" s="339" t="s">
        <v>418</v>
      </c>
      <c r="AJ110" s="339">
        <f>AJ107-1</f>
        <v>20</v>
      </c>
      <c r="AK110" s="339">
        <f>AK106</f>
        <v>1</v>
      </c>
      <c r="AL110" s="339">
        <f>AL107+AN107</f>
        <v>2014</v>
      </c>
      <c r="AV110" s="339">
        <f t="shared" si="0"/>
        <v>200</v>
      </c>
      <c r="AW110" s="339">
        <f t="shared" si="1"/>
        <v>0</v>
      </c>
      <c r="AX110" s="339">
        <f t="shared" si="2"/>
        <v>200</v>
      </c>
      <c r="AY110" s="339">
        <f t="shared" si="3"/>
        <v>0</v>
      </c>
    </row>
    <row r="111" spans="15:51" s="339" customFormat="1" ht="15" hidden="1">
      <c r="O111" s="339">
        <v>11</v>
      </c>
      <c r="P111" s="339" t="s">
        <v>11</v>
      </c>
      <c r="Q111" s="339">
        <v>5</v>
      </c>
      <c r="R111" s="339">
        <v>1971</v>
      </c>
      <c r="U111" s="339">
        <v>9</v>
      </c>
      <c r="V111" s="339" t="s">
        <v>509</v>
      </c>
      <c r="W111" s="339">
        <v>2</v>
      </c>
      <c r="X111" s="339" t="s">
        <v>15</v>
      </c>
      <c r="AA111" s="373" t="s">
        <v>46</v>
      </c>
      <c r="AB111" s="359">
        <f>VLOOKUP(AB110,AF187:AG273,2,FALSE)</f>
        <v>7100</v>
      </c>
      <c r="AC111" s="359"/>
      <c r="AD111" s="359"/>
      <c r="AE111" s="374"/>
      <c r="AF111" s="339">
        <v>12</v>
      </c>
      <c r="AG111" s="340"/>
      <c r="AH111" s="340"/>
      <c r="AI111" s="339" t="s">
        <v>419</v>
      </c>
      <c r="AK111" s="361">
        <f>DATE(AL110,AK110,AJ110)</f>
        <v>41659</v>
      </c>
      <c r="AL111" s="339" t="str">
        <f>TEXT(AK111,"DD/MM/YYYY")</f>
        <v>20/01/2014</v>
      </c>
      <c r="AM111" s="361">
        <f>AJ115-1</f>
        <v>41659</v>
      </c>
      <c r="AN111" s="339" t="str">
        <f>TEXT(AM111,"dd/mm/yyyy")</f>
        <v>20/01/2014</v>
      </c>
      <c r="AO111" s="339" t="s">
        <v>378</v>
      </c>
      <c r="AP111" s="339">
        <f>AP103</f>
        <v>12</v>
      </c>
      <c r="AV111" s="339">
        <f t="shared" si="0"/>
        <v>200</v>
      </c>
      <c r="AW111" s="339">
        <f t="shared" si="1"/>
        <v>0</v>
      </c>
      <c r="AX111" s="339">
        <f t="shared" si="2"/>
        <v>200</v>
      </c>
      <c r="AY111" s="339">
        <f t="shared" si="3"/>
        <v>0</v>
      </c>
    </row>
    <row r="112" spans="15:51" s="339" customFormat="1" ht="15" hidden="1">
      <c r="O112" s="339">
        <v>12</v>
      </c>
      <c r="P112" s="339" t="s">
        <v>12</v>
      </c>
      <c r="Q112" s="339">
        <v>6</v>
      </c>
      <c r="R112" s="339">
        <v>1972</v>
      </c>
      <c r="U112" s="339">
        <v>10</v>
      </c>
      <c r="V112" s="339" t="s">
        <v>25</v>
      </c>
      <c r="W112" s="339">
        <v>3</v>
      </c>
      <c r="X112" s="339" t="s">
        <v>16</v>
      </c>
      <c r="AA112" s="373"/>
      <c r="AB112" s="359" t="s">
        <v>432</v>
      </c>
      <c r="AC112" s="359">
        <f>P175</f>
        <v>0</v>
      </c>
      <c r="AD112" s="359" t="s">
        <v>376</v>
      </c>
      <c r="AE112" s="374">
        <f>Q190</f>
        <v>12</v>
      </c>
      <c r="AF112" s="339">
        <v>18</v>
      </c>
      <c r="AG112" s="340"/>
      <c r="AH112" s="340"/>
      <c r="AK112" s="361">
        <f>DATE(AL110,AK110,AJ107)</f>
        <v>41660</v>
      </c>
      <c r="AL112" s="339" t="str">
        <f>TEXT(AK112,"DD/MM/YYYY")</f>
        <v>21/01/2014</v>
      </c>
      <c r="AO112" s="339" t="s">
        <v>377</v>
      </c>
      <c r="AP112" s="339">
        <f>AO103</f>
        <v>63.344</v>
      </c>
      <c r="AQ112" s="353">
        <v>7</v>
      </c>
      <c r="AR112" s="375">
        <f>VLOOKUP(AQ112,AH115:AL127,5,FALSE)</f>
        <v>41821</v>
      </c>
      <c r="AV112" s="339">
        <f t="shared" si="0"/>
        <v>200</v>
      </c>
      <c r="AW112" s="339">
        <f t="shared" si="1"/>
        <v>0</v>
      </c>
      <c r="AX112" s="339">
        <f t="shared" si="2"/>
        <v>200</v>
      </c>
      <c r="AY112" s="339">
        <f t="shared" si="3"/>
        <v>0</v>
      </c>
    </row>
    <row r="113" spans="15:64" s="339" customFormat="1" ht="15.75" hidden="1" thickBot="1">
      <c r="O113" s="339">
        <v>13</v>
      </c>
      <c r="P113" s="339" t="s">
        <v>13</v>
      </c>
      <c r="Q113" s="339">
        <v>7</v>
      </c>
      <c r="R113" s="339">
        <v>1973</v>
      </c>
      <c r="U113" s="339">
        <v>11</v>
      </c>
      <c r="V113" s="339" t="s">
        <v>508</v>
      </c>
      <c r="W113" s="339">
        <v>3</v>
      </c>
      <c r="X113" s="339" t="s">
        <v>17</v>
      </c>
      <c r="AA113" s="376"/>
      <c r="AB113" s="377" t="s">
        <v>433</v>
      </c>
      <c r="AC113" s="377">
        <f>VLOOKUP(AB111,AG187:AH273,2,TRUE)</f>
        <v>7300</v>
      </c>
      <c r="AD113" s="377"/>
      <c r="AE113" s="378"/>
      <c r="AF113" s="339">
        <v>24</v>
      </c>
      <c r="AG113" s="340"/>
      <c r="AH113" s="340"/>
      <c r="AI113" s="339" t="s">
        <v>421</v>
      </c>
      <c r="AK113" s="361">
        <f>DATE(AL110,AL104,AK98)</f>
        <v>41670</v>
      </c>
      <c r="AL113" s="339" t="str">
        <f>TEXT(AK113,"dd/mm/yyyy")</f>
        <v>31/01/2014</v>
      </c>
      <c r="AM113" s="353">
        <v>3</v>
      </c>
      <c r="AO113" s="339" t="s">
        <v>472</v>
      </c>
      <c r="AP113" s="339">
        <f>M15</f>
        <v>72</v>
      </c>
      <c r="AQ113" s="339">
        <f>IF(AQ112=13,AP112,AP113)</f>
        <v>72</v>
      </c>
      <c r="AW113" s="339">
        <f>SUM(AW101:AW112)</f>
        <v>0</v>
      </c>
      <c r="AY113" s="339">
        <f>SUM(AY101:AY112)</f>
        <v>0</v>
      </c>
      <c r="BK113" s="375">
        <v>41640</v>
      </c>
      <c r="BL113" s="339">
        <v>27</v>
      </c>
    </row>
    <row r="114" spans="15:65" s="339" customFormat="1" ht="16.5" hidden="1" thickBot="1" thickTop="1">
      <c r="O114" s="339">
        <v>14</v>
      </c>
      <c r="P114" s="339" t="s">
        <v>14</v>
      </c>
      <c r="Q114" s="339">
        <v>8</v>
      </c>
      <c r="R114" s="339">
        <v>1974</v>
      </c>
      <c r="U114" s="339">
        <v>12</v>
      </c>
      <c r="V114" s="339" t="s">
        <v>507</v>
      </c>
      <c r="W114" s="339">
        <v>3</v>
      </c>
      <c r="X114" s="339" t="s">
        <v>18</v>
      </c>
      <c r="AG114" s="340"/>
      <c r="AH114" s="340"/>
      <c r="AI114" s="339" t="s">
        <v>422</v>
      </c>
      <c r="AK114" s="379">
        <f>AK113-AJ115</f>
        <v>10</v>
      </c>
      <c r="AL114" s="379">
        <f>AK114+1</f>
        <v>11</v>
      </c>
      <c r="AM114" s="375">
        <f>VLOOKUP(AM113,AH115:AL126,5,FALSE)</f>
        <v>41699</v>
      </c>
      <c r="AQ114" s="339" t="s">
        <v>434</v>
      </c>
      <c r="AR114" s="339" t="s">
        <v>377</v>
      </c>
      <c r="AS114" s="339" t="s">
        <v>378</v>
      </c>
      <c r="AT114" s="339" t="s">
        <v>77</v>
      </c>
      <c r="AU114" s="339" t="s">
        <v>435</v>
      </c>
      <c r="AV114" s="339" t="s">
        <v>436</v>
      </c>
      <c r="AW114" s="339" t="s">
        <v>377</v>
      </c>
      <c r="AX114" s="339" t="s">
        <v>378</v>
      </c>
      <c r="AY114" s="339" t="s">
        <v>77</v>
      </c>
      <c r="AZ114" s="339" t="s">
        <v>437</v>
      </c>
      <c r="BA114" s="339" t="s">
        <v>438</v>
      </c>
      <c r="BB114" s="339" t="s">
        <v>439</v>
      </c>
      <c r="BC114" s="339" t="s">
        <v>440</v>
      </c>
      <c r="BD114" s="339" t="s">
        <v>441</v>
      </c>
      <c r="BE114" s="339" t="s">
        <v>442</v>
      </c>
      <c r="BF114" s="339" t="s">
        <v>443</v>
      </c>
      <c r="BG114" s="339" t="s">
        <v>477</v>
      </c>
      <c r="BJ114" s="339" t="s">
        <v>479</v>
      </c>
      <c r="BK114" s="339" t="s">
        <v>511</v>
      </c>
      <c r="BL114" s="339" t="s">
        <v>512</v>
      </c>
      <c r="BM114" s="339" t="s">
        <v>513</v>
      </c>
    </row>
    <row r="115" spans="15:65" s="339" customFormat="1" ht="16.5" hidden="1" thickBot="1" thickTop="1">
      <c r="O115" s="339">
        <v>15</v>
      </c>
      <c r="P115" s="339" t="s">
        <v>15</v>
      </c>
      <c r="Q115" s="339">
        <v>9</v>
      </c>
      <c r="R115" s="339">
        <v>1975</v>
      </c>
      <c r="U115" s="339">
        <v>13</v>
      </c>
      <c r="V115" s="339" t="s">
        <v>3</v>
      </c>
      <c r="W115" s="339">
        <v>1</v>
      </c>
      <c r="AH115" s="339">
        <v>1</v>
      </c>
      <c r="AI115" s="339" t="s">
        <v>420</v>
      </c>
      <c r="AJ115" s="361">
        <f>AB108</f>
        <v>41660</v>
      </c>
      <c r="AK115" s="361">
        <f>AK113+1</f>
        <v>41671</v>
      </c>
      <c r="AL115" s="375">
        <f>AJ115</f>
        <v>41660</v>
      </c>
      <c r="AM115" s="379" t="str">
        <f>CONCATENATE(AI116," - ",AL113)</f>
        <v>21 - 31/01/2014</v>
      </c>
      <c r="AO115" s="380" t="str">
        <f>AM115</f>
        <v>21 - 31/01/2014</v>
      </c>
      <c r="AP115" s="381"/>
      <c r="AQ115" s="381">
        <f>ROUND(AC113/AI117*AL114,0)</f>
        <v>2590</v>
      </c>
      <c r="AR115" s="381">
        <f>IF(AL115=AR112,ROUND(AQ115*AQ113%,0),ROUND(AQ115*AP$112/100,0))</f>
        <v>1641</v>
      </c>
      <c r="AS115" s="381">
        <f>ROUND(AQ115*AP111/100,0)</f>
        <v>311</v>
      </c>
      <c r="AT115" s="381">
        <f>SUM(AQ115:AS115)</f>
        <v>4542</v>
      </c>
      <c r="AU115" s="381">
        <f>AW101</f>
        <v>0</v>
      </c>
      <c r="AV115" s="381">
        <f>ROUND(AB111/AI117*AL114,0)</f>
        <v>2519</v>
      </c>
      <c r="AW115" s="381">
        <f>IF(AL115=AR112,ROUND(AV115*AQ113%,0),ROUND(AV115*AP$112/100,0))</f>
        <v>1596</v>
      </c>
      <c r="AX115" s="381">
        <f>ROUND(AV115*AP111/100,0)</f>
        <v>302</v>
      </c>
      <c r="AY115" s="381">
        <f>SUM(AV115:AX115)</f>
        <v>4417</v>
      </c>
      <c r="AZ115" s="381">
        <f>AY101</f>
        <v>0</v>
      </c>
      <c r="BA115" s="381">
        <f>AQ115-AV115</f>
        <v>71</v>
      </c>
      <c r="BB115" s="381">
        <f>AR115-AW115</f>
        <v>45</v>
      </c>
      <c r="BC115" s="381">
        <f>AS115-AX115</f>
        <v>9</v>
      </c>
      <c r="BD115" s="381">
        <f>AT115-AY115</f>
        <v>125</v>
      </c>
      <c r="BE115" s="381">
        <f>IF(AU115="","",AU115-AZ115)</f>
        <v>0</v>
      </c>
      <c r="BF115" s="382">
        <f>IF(AO115="","",BD115-BE115)</f>
        <v>125</v>
      </c>
      <c r="BG115" s="339">
        <f>IF(AO115="","",(BA115+BB115))</f>
        <v>116</v>
      </c>
      <c r="BH115" s="339">
        <f>IF(AO115="","",ROUND(BG115*10%,0))</f>
        <v>12</v>
      </c>
      <c r="BI115" s="339">
        <f>IF(V$129=1,0,BH115)</f>
        <v>0</v>
      </c>
      <c r="BJ115" s="339">
        <f>BD115-BE115-BI115</f>
        <v>125</v>
      </c>
      <c r="BK115" s="339">
        <f>IF(AM116&gt;=BK$113,ROUND(AQ115*BL$113%,0),"")</f>
        <v>699</v>
      </c>
      <c r="BL115" s="339">
        <f>IF(AM116&gt;=BK$113,ROUND(AV115*BL$113%,0),"")</f>
        <v>680</v>
      </c>
      <c r="BM115" s="339">
        <f>IF(BK115="","",BK115-BL115)</f>
        <v>19</v>
      </c>
    </row>
    <row r="116" spans="15:65" s="339" customFormat="1" ht="16.5" hidden="1" thickBot="1" thickTop="1">
      <c r="O116" s="339">
        <v>16</v>
      </c>
      <c r="P116" s="339" t="s">
        <v>16</v>
      </c>
      <c r="Q116" s="339">
        <v>10</v>
      </c>
      <c r="R116" s="339">
        <v>1976</v>
      </c>
      <c r="U116" s="339">
        <v>14</v>
      </c>
      <c r="V116" s="339" t="s">
        <v>50</v>
      </c>
      <c r="W116" s="339">
        <v>3</v>
      </c>
      <c r="AA116" s="383"/>
      <c r="AB116" s="384"/>
      <c r="AC116" s="384">
        <f>INT(AC117/10)</f>
        <v>0</v>
      </c>
      <c r="AD116" s="384">
        <f>INT(AC117-AC116*10)</f>
        <v>3</v>
      </c>
      <c r="AE116" s="384"/>
      <c r="AF116" s="384"/>
      <c r="AG116" s="357"/>
      <c r="AH116" s="339">
        <v>2</v>
      </c>
      <c r="AI116" s="339">
        <f>DAY(AJ115)</f>
        <v>21</v>
      </c>
      <c r="AJ116" s="339" t="str">
        <f>TEXT(AJ115,"DD/MM/YYYY")</f>
        <v>21/01/2014</v>
      </c>
      <c r="AK116" s="361">
        <f>DATE(YEAR(AK$115),MONTH(AK115)+1,DAY(AK$115))</f>
        <v>41699</v>
      </c>
      <c r="AL116" s="375">
        <f>AK115</f>
        <v>41671</v>
      </c>
      <c r="AM116" s="375">
        <f>IF(AL115&lt;=AM$114,AL115,"")</f>
        <v>41660</v>
      </c>
      <c r="AO116" s="385">
        <f>AM117</f>
        <v>41671</v>
      </c>
      <c r="AP116" s="386"/>
      <c r="AQ116" s="386">
        <f>IF(AO116="","",IF(AO116=AM117,AC$113,""))</f>
        <v>7300</v>
      </c>
      <c r="AR116" s="386">
        <f>IF(AO116="","",IF(AL116=AR$112,ROUND(AQ116*AQ$113%,0),ROUND(AQ116*AP$112/100,0)))</f>
        <v>4624</v>
      </c>
      <c r="AS116" s="386">
        <f>IF(AO116="","",IF(AO116=AL116,ROUND(AQ116*AP$111/100,0)))</f>
        <v>876</v>
      </c>
      <c r="AT116" s="386">
        <f>IF(AO116="","",IF(AO116=AM117,SUM(AQ116:AS116),""))</f>
        <v>12800</v>
      </c>
      <c r="AU116" s="381">
        <f>AW102</f>
        <v>0</v>
      </c>
      <c r="AV116" s="386">
        <f>IF(AO116="","",IF(AO116=AM117,AB$111,""))</f>
        <v>7100</v>
      </c>
      <c r="AW116" s="386">
        <f>IF(AO116="","",IF(AL116=AR$112,ROUND(AV116*AQ$113%,0),ROUND(AV116*AP$112/100,0)))</f>
        <v>4497</v>
      </c>
      <c r="AX116" s="386">
        <f>IF(AO116="","",IF(AO116=AM117,ROUND(AV116*AP$111/100,0)))</f>
        <v>852</v>
      </c>
      <c r="AY116" s="386">
        <f>IF(AO116="","",IF(AO116=AM117,SUM(AV116:AX116),""))</f>
        <v>12449</v>
      </c>
      <c r="AZ116" s="381">
        <f aca="true" t="shared" si="4" ref="AZ116:AZ127">AY102</f>
        <v>0</v>
      </c>
      <c r="BA116" s="386">
        <f>IF(AO116="","",IF(AO116=AM117,(AQ116-AV116),""))</f>
        <v>200</v>
      </c>
      <c r="BB116" s="386">
        <f>IF(AO116="","",IF(AO116=AM117,(AR116-AW116),""))</f>
        <v>127</v>
      </c>
      <c r="BC116" s="386">
        <f>IF(AO116="","",IF(AO116=AM117,(AS116-AX116),""))</f>
        <v>24</v>
      </c>
      <c r="BD116" s="386">
        <f>IF(AO116="","",IF(AO116=AM117,(AT116-AY116),""))</f>
        <v>351</v>
      </c>
      <c r="BE116" s="386">
        <f>IF(AO116="","",IF(AO116=AM117,(AU116-AZ116),""))</f>
        <v>0</v>
      </c>
      <c r="BF116" s="387">
        <f>IF(AO116="","",IF(AO116=AM117,(BD116-BE116),""))</f>
        <v>351</v>
      </c>
      <c r="BG116" s="339">
        <f aca="true" t="shared" si="5" ref="BG116:BG126">IF(AO116="","",(BA116+BB116))</f>
        <v>327</v>
      </c>
      <c r="BH116" s="339">
        <f aca="true" t="shared" si="6" ref="BH116:BH126">IF(AO116="","",ROUND(BG116*10%,0))</f>
        <v>33</v>
      </c>
      <c r="BI116" s="339">
        <f aca="true" t="shared" si="7" ref="BI116:BI126">IF(V$129=1,0,BH116)</f>
        <v>0</v>
      </c>
      <c r="BJ116" s="339">
        <f>IF(AO116="","",BD116-BE116-BI116)</f>
        <v>351</v>
      </c>
      <c r="BK116" s="339">
        <f>IF(AO116="","",IF(AO116&gt;=BK$113,ROUND(AQ116*BL$113%,0),BK115))</f>
        <v>1971</v>
      </c>
      <c r="BL116" s="339">
        <f>IF(AO116="","",IF(AO116&gt;=BK$113,ROUND(AV116*BL$113%,0),BK115))</f>
        <v>1917</v>
      </c>
      <c r="BM116" s="339">
        <f aca="true" t="shared" si="8" ref="BM116:BM126">IF(BK116="","",BK116-BL116)</f>
        <v>54</v>
      </c>
    </row>
    <row r="117" spans="15:65" s="339" customFormat="1" ht="16.5" hidden="1" thickBot="1" thickTop="1">
      <c r="O117" s="339">
        <v>17</v>
      </c>
      <c r="P117" s="339" t="s">
        <v>17</v>
      </c>
      <c r="Q117" s="339">
        <v>11</v>
      </c>
      <c r="R117" s="339">
        <v>1977</v>
      </c>
      <c r="U117" s="339">
        <v>15</v>
      </c>
      <c r="V117" s="339" t="s">
        <v>28</v>
      </c>
      <c r="W117" s="339">
        <v>2</v>
      </c>
      <c r="AA117" s="364" t="s">
        <v>263</v>
      </c>
      <c r="AB117" s="388">
        <f>AM114</f>
        <v>41699</v>
      </c>
      <c r="AC117" s="389">
        <f>MONTH(AB117)</f>
        <v>3</v>
      </c>
      <c r="AD117" s="389">
        <f>YEAR(AB117)</f>
        <v>2014</v>
      </c>
      <c r="AE117" s="389">
        <f>AD117-2000</f>
        <v>14</v>
      </c>
      <c r="AF117" s="389">
        <f>INT(AE117/10)</f>
        <v>1</v>
      </c>
      <c r="AG117" s="368">
        <f>INT(AE117-AF117*10)</f>
        <v>4</v>
      </c>
      <c r="AH117" s="339">
        <v>3</v>
      </c>
      <c r="AI117" s="339">
        <f>DAY(AK113)</f>
        <v>31</v>
      </c>
      <c r="AK117" s="361">
        <f>DATE(YEAR(AK$116),MONTH(AK116)+1,DAY(AK$115))</f>
        <v>41730</v>
      </c>
      <c r="AL117" s="375">
        <f>AK116</f>
        <v>41699</v>
      </c>
      <c r="AM117" s="375">
        <f>IF(AL116&lt;=AM$114,AL116,"")</f>
        <v>41671</v>
      </c>
      <c r="AO117" s="385">
        <f>AM118</f>
        <v>41699</v>
      </c>
      <c r="AP117" s="386"/>
      <c r="AQ117" s="386">
        <f>IF(AO117="","",IF(AO117=AM118,AC$113,""))</f>
        <v>7300</v>
      </c>
      <c r="AR117" s="386">
        <f>IF(AO117="","",IF(AL117=AR$112,ROUND(AQ117*AQ$113%,0),AR116))</f>
        <v>4624</v>
      </c>
      <c r="AS117" s="386">
        <f>IF(AO117="","",IF(AO117=AL117,ROUND(AQ117*AP$111/100,0)))</f>
        <v>876</v>
      </c>
      <c r="AT117" s="386">
        <f>IF(AO117="","",IF(AO117=AM118,SUM(AQ117:AS117),""))</f>
        <v>12800</v>
      </c>
      <c r="AU117" s="381">
        <f aca="true" t="shared" si="9" ref="AU117:AU127">AW103</f>
        <v>0</v>
      </c>
      <c r="AV117" s="386">
        <f>IF(AO117="","",IF(AO117=AM118,AB$111,""))</f>
        <v>7100</v>
      </c>
      <c r="AW117" s="386">
        <f>IF(AO117="","",IF(AL117=AR$112,ROUND(AV117*AQ$113%,0),AW116))</f>
        <v>4497</v>
      </c>
      <c r="AX117" s="386">
        <f>IF(AO117="","",IF(AO117=AM118,ROUND(AV117*AP$111/100,0)))</f>
        <v>852</v>
      </c>
      <c r="AY117" s="386">
        <f>IF(AO117="","",IF(AO117=AM118,SUM(AV117:AX117),""))</f>
        <v>12449</v>
      </c>
      <c r="AZ117" s="381">
        <f t="shared" si="4"/>
        <v>0</v>
      </c>
      <c r="BA117" s="386">
        <f>IF(AO117="","",IF(AO117=AM118,(AQ117-AV117),""))</f>
        <v>200</v>
      </c>
      <c r="BB117" s="386">
        <f>IF(AO117="","",IF(AO117=AM118,(AR117-AW117),""))</f>
        <v>127</v>
      </c>
      <c r="BC117" s="386">
        <f>IF(AO117="","",IF(AO117=AM118,(AS117-AX117),""))</f>
        <v>24</v>
      </c>
      <c r="BD117" s="386">
        <f>IF(AO117="","",IF(AO117=AM118,(AT117-AY117),""))</f>
        <v>351</v>
      </c>
      <c r="BE117" s="386">
        <f>IF(AO117="","",IF(AO117=AM118,(AU117-AZ117),""))</f>
        <v>0</v>
      </c>
      <c r="BF117" s="387">
        <f>IF(AO117="","",IF(AO117=AM118,(BD117-BE117),""))</f>
        <v>351</v>
      </c>
      <c r="BG117" s="339">
        <f t="shared" si="5"/>
        <v>327</v>
      </c>
      <c r="BH117" s="339">
        <f t="shared" si="6"/>
        <v>33</v>
      </c>
      <c r="BI117" s="339">
        <f t="shared" si="7"/>
        <v>0</v>
      </c>
      <c r="BJ117" s="339">
        <f aca="true" t="shared" si="10" ref="BJ117:BJ126">IF(AO117="","",BD117-BE117-BI117)</f>
        <v>351</v>
      </c>
      <c r="BK117" s="339">
        <f aca="true" t="shared" si="11" ref="BK117:BK126">IF(AO117="","",IF(AO117&gt;=BK$113,ROUND(AQ117*BL$113%,0),BK116))</f>
        <v>1971</v>
      </c>
      <c r="BL117" s="339">
        <f aca="true" t="shared" si="12" ref="BL117:BL126">IF(AO117="","",IF(AO117&gt;=BK$113,ROUND(AV117*BL$113%,0),BK116))</f>
        <v>1917</v>
      </c>
      <c r="BM117" s="339">
        <f t="shared" si="8"/>
        <v>54</v>
      </c>
    </row>
    <row r="118" spans="15:65" s="339" customFormat="1" ht="16.5" hidden="1" thickBot="1" thickTop="1">
      <c r="O118" s="339">
        <v>18</v>
      </c>
      <c r="P118" s="339" t="s">
        <v>18</v>
      </c>
      <c r="Q118" s="339">
        <v>12</v>
      </c>
      <c r="R118" s="339">
        <v>1978</v>
      </c>
      <c r="U118" s="339">
        <v>16</v>
      </c>
      <c r="V118" s="339" t="s">
        <v>26</v>
      </c>
      <c r="W118" s="339">
        <v>2</v>
      </c>
      <c r="Y118" s="361">
        <f ca="1">TODAY()</f>
        <v>42035</v>
      </c>
      <c r="Z118" s="353">
        <v>5</v>
      </c>
      <c r="AA118" s="353">
        <v>25</v>
      </c>
      <c r="AH118" s="339">
        <v>4</v>
      </c>
      <c r="AK118" s="361">
        <f>DATE(YEAR(AK$117),MONTH(AK117)+1,DAY(AK$115))</f>
        <v>41760</v>
      </c>
      <c r="AL118" s="375">
        <f>AK117</f>
        <v>41730</v>
      </c>
      <c r="AM118" s="375">
        <f>IF(AL117&lt;=AM$114,AL117,"")</f>
        <v>41699</v>
      </c>
      <c r="AO118" s="385">
        <f>AM119</f>
      </c>
      <c r="AP118" s="386"/>
      <c r="AQ118" s="386">
        <f>IF(AO118="","",IF(AO118=AM119,AC$113,""))</f>
      </c>
      <c r="AR118" s="386">
        <f aca="true" t="shared" si="13" ref="AR118:AR126">IF(AO118="","",IF(AL118=AR$112,ROUND(AQ118*AQ$113%,0),AR117))</f>
      </c>
      <c r="AS118" s="386">
        <f>IF(AO118="","",IF(AO118=AL118,ROUND(AQ118*AP$111/100,0)))</f>
      </c>
      <c r="AT118" s="386">
        <f>IF(AO118="","",IF(AO118=AM119,SUM(AQ118:AS118),""))</f>
      </c>
      <c r="AU118" s="381">
        <f t="shared" si="9"/>
        <v>0</v>
      </c>
      <c r="AV118" s="386">
        <f>IF(AO118="","",IF(AO118=AM119,AB$111,""))</f>
      </c>
      <c r="AW118" s="386">
        <f aca="true" t="shared" si="14" ref="AW118:AW126">IF(AO118="","",IF(AL118=AR$112,ROUND(AV118*AQ$113%,0),AW117))</f>
      </c>
      <c r="AX118" s="386">
        <f>IF(AO118="","",IF(AO118=AM119,ROUND(AV118*AP$111/100,0)))</f>
      </c>
      <c r="AY118" s="386">
        <f>IF(AO118="","",IF(AO118=AM119,SUM(AV118:AX118),""))</f>
      </c>
      <c r="AZ118" s="381">
        <f t="shared" si="4"/>
        <v>0</v>
      </c>
      <c r="BA118" s="386">
        <f>IF(AO118="","",IF(AO118=AM119,(AQ118-AV118),""))</f>
      </c>
      <c r="BB118" s="386">
        <f>IF(AO118="","",IF(AO118=AM119,(AR118-AW118),""))</f>
      </c>
      <c r="BC118" s="386">
        <f>IF(AO118="","",IF(AO118=AM119,(AS118-AX118),""))</f>
      </c>
      <c r="BD118" s="386">
        <f>IF(AO118="","",IF(AO118=AM119,(AT118-AY118),""))</f>
      </c>
      <c r="BE118" s="386">
        <f>IF(AO118="","",IF(AO118=AM119,(AU118-AZ118),""))</f>
      </c>
      <c r="BF118" s="387">
        <f>IF(AO118="","",IF(AO118=AM119,(BD118-BE118),""))</f>
      </c>
      <c r="BG118" s="339">
        <f t="shared" si="5"/>
      </c>
      <c r="BH118" s="339">
        <f t="shared" si="6"/>
      </c>
      <c r="BI118" s="339">
        <f t="shared" si="7"/>
        <v>0</v>
      </c>
      <c r="BJ118" s="339">
        <f t="shared" si="10"/>
      </c>
      <c r="BK118" s="339">
        <f t="shared" si="11"/>
      </c>
      <c r="BL118" s="339">
        <f t="shared" si="12"/>
      </c>
      <c r="BM118" s="339">
        <f t="shared" si="8"/>
      </c>
    </row>
    <row r="119" spans="15:65" s="339" customFormat="1" ht="16.5" hidden="1" thickBot="1" thickTop="1">
      <c r="O119" s="339">
        <v>19</v>
      </c>
      <c r="Q119" s="339">
        <v>13</v>
      </c>
      <c r="R119" s="339">
        <v>1979</v>
      </c>
      <c r="U119" s="339">
        <v>17</v>
      </c>
      <c r="V119" s="339" t="s">
        <v>27</v>
      </c>
      <c r="W119" s="339">
        <v>3</v>
      </c>
      <c r="X119" s="339" t="s">
        <v>457</v>
      </c>
      <c r="Y119" s="353">
        <v>10</v>
      </c>
      <c r="Z119" s="339" t="str">
        <f>VLOOKUP(Z118,U103:X114,4,FALSE)</f>
        <v>May</v>
      </c>
      <c r="AA119" s="339">
        <f>VLOOKUP(AA118,O101:R139,4,FALSE)</f>
        <v>1985</v>
      </c>
      <c r="AH119" s="339">
        <v>5</v>
      </c>
      <c r="AK119" s="361">
        <f>DATE(YEAR(AK$118),MONTH(AK118)+1,DAY(AK$115))</f>
        <v>41791</v>
      </c>
      <c r="AL119" s="375">
        <f>AK118</f>
        <v>41760</v>
      </c>
      <c r="AM119" s="375">
        <f>IF(AL118&lt;=AM$114,AL118,"")</f>
      </c>
      <c r="AO119" s="385">
        <f>AM120</f>
      </c>
      <c r="AP119" s="386"/>
      <c r="AQ119" s="386">
        <f>IF(AO119="","",IF(AO119=AM120,AC$113,""))</f>
      </c>
      <c r="AR119" s="386">
        <f t="shared" si="13"/>
      </c>
      <c r="AS119" s="386">
        <f>IF(AO119="","",IF(AO119=AL119,ROUND(AQ119*AP$111/100,0)))</f>
      </c>
      <c r="AT119" s="386">
        <f>IF(AO119="","",IF(AO119=AM120,SUM(AQ119:AS119),""))</f>
      </c>
      <c r="AU119" s="381">
        <f t="shared" si="9"/>
        <v>0</v>
      </c>
      <c r="AV119" s="386">
        <f>IF(AO119="","",IF(AO119=AM120,AB$111,""))</f>
      </c>
      <c r="AW119" s="386">
        <f t="shared" si="14"/>
      </c>
      <c r="AX119" s="386">
        <f>IF(AO119="","",IF(AO119=AM120,ROUND(AV119*AP$111/100,0)))</f>
      </c>
      <c r="AY119" s="386">
        <f>IF(AO119="","",IF(AO119=AM120,SUM(AV119:AX119),""))</f>
      </c>
      <c r="AZ119" s="381">
        <f t="shared" si="4"/>
        <v>0</v>
      </c>
      <c r="BA119" s="386">
        <f>IF(AO119="","",IF(AO119=AM120,(AQ119-AV119),""))</f>
      </c>
      <c r="BB119" s="386">
        <f>IF(AO119="","",IF(AO119=AM120,(AR119-AW119),""))</f>
      </c>
      <c r="BC119" s="386">
        <f>IF(AO119="","",IF(AO119=AM120,(AS119-AX119),""))</f>
      </c>
      <c r="BD119" s="386">
        <f>IF(AO119="","",IF(AO119=AM120,(AT119-AY119),""))</f>
      </c>
      <c r="BE119" s="386">
        <f>IF(AO119="","",IF(AO119=AM120,(AU119-AZ119),""))</f>
      </c>
      <c r="BF119" s="387">
        <f>IF(AO119="","",IF(AO119=AM120,(BD119-BE119),""))</f>
      </c>
      <c r="BG119" s="339">
        <f t="shared" si="5"/>
      </c>
      <c r="BH119" s="339">
        <f t="shared" si="6"/>
      </c>
      <c r="BI119" s="339">
        <f t="shared" si="7"/>
        <v>0</v>
      </c>
      <c r="BJ119" s="339">
        <f t="shared" si="10"/>
      </c>
      <c r="BK119" s="339">
        <f t="shared" si="11"/>
      </c>
      <c r="BL119" s="339">
        <f t="shared" si="12"/>
      </c>
      <c r="BM119" s="339">
        <f t="shared" si="8"/>
      </c>
    </row>
    <row r="120" spans="15:65" s="339" customFormat="1" ht="16.5" hidden="1" thickBot="1" thickTop="1">
      <c r="O120" s="339">
        <v>20</v>
      </c>
      <c r="Q120" s="339">
        <v>14</v>
      </c>
      <c r="R120" s="339">
        <v>1980</v>
      </c>
      <c r="U120" s="339">
        <v>18</v>
      </c>
      <c r="V120" s="339" t="s">
        <v>502</v>
      </c>
      <c r="W120" s="339">
        <v>4</v>
      </c>
      <c r="Y120" s="361">
        <f>DATE(AA119,Z118,Y119)</f>
        <v>31177</v>
      </c>
      <c r="AH120" s="339">
        <v>6</v>
      </c>
      <c r="AK120" s="361">
        <f>DATE(YEAR(AK$119),MONTH(AK119)+1,DAY(AK$115))</f>
        <v>41821</v>
      </c>
      <c r="AL120" s="375">
        <f aca="true" t="shared" si="15" ref="AL120:AL126">AK119</f>
        <v>41791</v>
      </c>
      <c r="AM120" s="375">
        <f>IF(AL119&lt;=AM$114,AL119,"")</f>
      </c>
      <c r="AO120" s="385">
        <f aca="true" t="shared" si="16" ref="AO120:AO126">AM121</f>
      </c>
      <c r="AQ120" s="386">
        <f aca="true" t="shared" si="17" ref="AQ120:AQ126">IF(AO120="","",IF(AO120=AM121,AC$113,""))</f>
      </c>
      <c r="AR120" s="386">
        <f t="shared" si="13"/>
      </c>
      <c r="AS120" s="386">
        <f aca="true" t="shared" si="18" ref="AS120:AS126">IF(AO120="","",IF(AO120=AL120,ROUND(AQ120*AP$111/100,0)))</f>
      </c>
      <c r="AT120" s="386">
        <f aca="true" t="shared" si="19" ref="AT120:AT126">IF(AO120="","",IF(AO120=AM121,SUM(AQ120:AS120),""))</f>
      </c>
      <c r="AU120" s="381">
        <f t="shared" si="9"/>
        <v>0</v>
      </c>
      <c r="AV120" s="386">
        <f aca="true" t="shared" si="20" ref="AV120:AV126">IF(AO120="","",IF(AO120=AM121,AB$111,""))</f>
      </c>
      <c r="AW120" s="386">
        <f t="shared" si="14"/>
      </c>
      <c r="AX120" s="386">
        <f aca="true" t="shared" si="21" ref="AX120:AX126">IF(AO120="","",IF(AO120=AM121,ROUND(AV120*AP$111/100,0)))</f>
      </c>
      <c r="AY120" s="386">
        <f aca="true" t="shared" si="22" ref="AY120:AY126">IF(AO120="","",IF(AO120=AM121,SUM(AV120:AX120),""))</f>
      </c>
      <c r="AZ120" s="381">
        <f t="shared" si="4"/>
        <v>0</v>
      </c>
      <c r="BA120" s="386">
        <f aca="true" t="shared" si="23" ref="BA120:BA126">IF(AO120="","",IF(AO120=AM121,(AQ120-AV120),""))</f>
      </c>
      <c r="BB120" s="386">
        <f aca="true" t="shared" si="24" ref="BB120:BB126">IF(AO120="","",IF(AO120=AM121,(AR120-AW120),""))</f>
      </c>
      <c r="BC120" s="386">
        <f aca="true" t="shared" si="25" ref="BC120:BC126">IF(AO120="","",IF(AO120=AM121,(AS120-AX120),""))</f>
      </c>
      <c r="BD120" s="386">
        <f aca="true" t="shared" si="26" ref="BD120:BD126">IF(AO120="","",IF(AO120=AM121,(AT120-AY120),""))</f>
      </c>
      <c r="BE120" s="386">
        <f aca="true" t="shared" si="27" ref="BE120:BE126">IF(AO120="","",IF(AO120=AM121,(AU120-AZ120),""))</f>
      </c>
      <c r="BF120" s="387">
        <f aca="true" t="shared" si="28" ref="BF120:BF126">IF(AO120="","",IF(AO120=AM121,(BD120-BE120),""))</f>
      </c>
      <c r="BG120" s="339">
        <f t="shared" si="5"/>
      </c>
      <c r="BH120" s="339">
        <f t="shared" si="6"/>
      </c>
      <c r="BI120" s="339">
        <f t="shared" si="7"/>
        <v>0</v>
      </c>
      <c r="BJ120" s="339">
        <f>IF(AO120="","",BD120-BE120-BI120)</f>
      </c>
      <c r="BK120" s="339">
        <f t="shared" si="11"/>
      </c>
      <c r="BL120" s="339">
        <f t="shared" si="12"/>
      </c>
      <c r="BM120" s="339">
        <f t="shared" si="8"/>
      </c>
    </row>
    <row r="121" spans="15:65" s="339" customFormat="1" ht="16.5" hidden="1" thickBot="1" thickTop="1">
      <c r="O121" s="339">
        <v>21</v>
      </c>
      <c r="Q121" s="339">
        <v>15</v>
      </c>
      <c r="R121" s="339">
        <v>1981</v>
      </c>
      <c r="V121" s="339" t="str">
        <f>D6</f>
        <v>Sr.Asst.</v>
      </c>
      <c r="W121" s="353">
        <v>10</v>
      </c>
      <c r="Y121" s="339" t="s">
        <v>445</v>
      </c>
      <c r="Z121" s="339" t="str">
        <f>DATEDIF(Y120,Y118,"y")&amp;"  years "&amp;DATEDIF(Y120,Y118,"ym")&amp;" months  and "&amp;DATEDIF(Y120,Y118,"md")&amp;" days. "</f>
        <v>29  years 8 months  and 21 days. </v>
      </c>
      <c r="AD121" s="527" t="str">
        <f>IF(AND(AC112=3,AE112&gt;=12),"Need to Required Qualification are three years Degree &amp; Professional course or PAT",IF(AND(AC112=2,AE112&gt;=12),"Need to Departmental tests Pass is Eligible","Need not qualification &amp; Departmental tests Pass"))</f>
        <v>Need not qualification &amp; Departmental tests Pass</v>
      </c>
      <c r="AE121" s="527"/>
      <c r="AF121" s="527"/>
      <c r="AG121" s="527"/>
      <c r="AH121" s="339">
        <v>7</v>
      </c>
      <c r="AK121" s="361">
        <f>DATE(YEAR(AK$120),MONTH(AK120)+1,DAY(AK$115))</f>
        <v>41852</v>
      </c>
      <c r="AL121" s="375">
        <f t="shared" si="15"/>
        <v>41821</v>
      </c>
      <c r="AM121" s="375">
        <f aca="true" t="shared" si="29" ref="AM121:AM127">IF(AL120&lt;=AM$114,AL120,"")</f>
      </c>
      <c r="AO121" s="385">
        <f t="shared" si="16"/>
      </c>
      <c r="AQ121" s="386">
        <f t="shared" si="17"/>
      </c>
      <c r="AR121" s="386">
        <f t="shared" si="13"/>
      </c>
      <c r="AS121" s="386">
        <f t="shared" si="18"/>
      </c>
      <c r="AT121" s="386">
        <f t="shared" si="19"/>
      </c>
      <c r="AU121" s="381">
        <f t="shared" si="9"/>
        <v>0</v>
      </c>
      <c r="AV121" s="386">
        <f t="shared" si="20"/>
      </c>
      <c r="AW121" s="386">
        <f t="shared" si="14"/>
      </c>
      <c r="AX121" s="386">
        <f t="shared" si="21"/>
      </c>
      <c r="AY121" s="386">
        <f t="shared" si="22"/>
      </c>
      <c r="AZ121" s="381">
        <f t="shared" si="4"/>
        <v>0</v>
      </c>
      <c r="BA121" s="386">
        <f t="shared" si="23"/>
      </c>
      <c r="BB121" s="386">
        <f t="shared" si="24"/>
      </c>
      <c r="BC121" s="386">
        <f t="shared" si="25"/>
      </c>
      <c r="BD121" s="386">
        <f t="shared" si="26"/>
      </c>
      <c r="BE121" s="386">
        <f t="shared" si="27"/>
      </c>
      <c r="BF121" s="387">
        <f t="shared" si="28"/>
      </c>
      <c r="BG121" s="339">
        <f t="shared" si="5"/>
      </c>
      <c r="BH121" s="339">
        <f t="shared" si="6"/>
      </c>
      <c r="BI121" s="339">
        <f t="shared" si="7"/>
        <v>0</v>
      </c>
      <c r="BJ121" s="339">
        <f>IF(AO121="","",BD121-BE121-BI121)</f>
      </c>
      <c r="BK121" s="339">
        <f t="shared" si="11"/>
      </c>
      <c r="BL121" s="339">
        <f t="shared" si="12"/>
      </c>
      <c r="BM121" s="339">
        <f t="shared" si="8"/>
      </c>
    </row>
    <row r="122" spans="15:65" s="339" customFormat="1" ht="16.5" hidden="1" thickBot="1" thickTop="1">
      <c r="O122" s="339">
        <v>22</v>
      </c>
      <c r="Q122" s="339">
        <v>16</v>
      </c>
      <c r="R122" s="339">
        <v>1982</v>
      </c>
      <c r="V122" s="339" t="str">
        <f>V121</f>
        <v>Sr.Asst.</v>
      </c>
      <c r="Y122" s="339" t="s">
        <v>446</v>
      </c>
      <c r="Z122" s="339" t="str">
        <f>DATEDIF(AJ108,Y118,"y")&amp;"  years "&amp;DATEDIF(AJ108,Y118,"ym")&amp;" months  and "&amp;DATEDIF(AJ108,Y118,"md")&amp;" days. "</f>
        <v>13  years 0 months  and 10 days. </v>
      </c>
      <c r="AD122" s="527"/>
      <c r="AE122" s="527"/>
      <c r="AF122" s="527"/>
      <c r="AG122" s="527"/>
      <c r="AH122" s="339">
        <v>8</v>
      </c>
      <c r="AK122" s="361">
        <f>DATE(YEAR(AK$121),MONTH(AK121)+1,DAY(AK$115))</f>
        <v>41883</v>
      </c>
      <c r="AL122" s="375">
        <f t="shared" si="15"/>
        <v>41852</v>
      </c>
      <c r="AM122" s="375">
        <f t="shared" si="29"/>
      </c>
      <c r="AO122" s="385">
        <f t="shared" si="16"/>
      </c>
      <c r="AQ122" s="386">
        <f t="shared" si="17"/>
      </c>
      <c r="AR122" s="386">
        <f t="shared" si="13"/>
      </c>
      <c r="AS122" s="386">
        <f t="shared" si="18"/>
      </c>
      <c r="AT122" s="386">
        <f t="shared" si="19"/>
      </c>
      <c r="AU122" s="381">
        <f t="shared" si="9"/>
        <v>0</v>
      </c>
      <c r="AV122" s="386">
        <f t="shared" si="20"/>
      </c>
      <c r="AW122" s="386">
        <f t="shared" si="14"/>
      </c>
      <c r="AX122" s="386">
        <f t="shared" si="21"/>
      </c>
      <c r="AY122" s="386">
        <f t="shared" si="22"/>
      </c>
      <c r="AZ122" s="381">
        <f t="shared" si="4"/>
        <v>0</v>
      </c>
      <c r="BA122" s="386">
        <f t="shared" si="23"/>
      </c>
      <c r="BB122" s="386">
        <f t="shared" si="24"/>
      </c>
      <c r="BC122" s="386">
        <f t="shared" si="25"/>
      </c>
      <c r="BD122" s="386">
        <f t="shared" si="26"/>
      </c>
      <c r="BE122" s="386">
        <f t="shared" si="27"/>
      </c>
      <c r="BF122" s="387">
        <f t="shared" si="28"/>
      </c>
      <c r="BG122" s="339">
        <f t="shared" si="5"/>
      </c>
      <c r="BH122" s="339">
        <f t="shared" si="6"/>
      </c>
      <c r="BI122" s="339">
        <f t="shared" si="7"/>
        <v>0</v>
      </c>
      <c r="BJ122" s="339">
        <f t="shared" si="10"/>
      </c>
      <c r="BK122" s="339">
        <f t="shared" si="11"/>
      </c>
      <c r="BL122" s="339">
        <f t="shared" si="12"/>
      </c>
      <c r="BM122" s="339">
        <f t="shared" si="8"/>
      </c>
    </row>
    <row r="123" spans="15:65" s="339" customFormat="1" ht="16.5" hidden="1" thickBot="1" thickTop="1">
      <c r="O123" s="339">
        <v>23</v>
      </c>
      <c r="Q123" s="339">
        <v>17</v>
      </c>
      <c r="R123" s="339">
        <v>1983</v>
      </c>
      <c r="AD123" s="359"/>
      <c r="AE123" s="359"/>
      <c r="AF123" s="359"/>
      <c r="AG123" s="359"/>
      <c r="AH123" s="339">
        <v>9</v>
      </c>
      <c r="AK123" s="361">
        <f>DATE(YEAR(AK$122),MONTH(AK122)+1,DAY(AK$115))</f>
        <v>41913</v>
      </c>
      <c r="AL123" s="375">
        <f t="shared" si="15"/>
        <v>41883</v>
      </c>
      <c r="AM123" s="375">
        <f t="shared" si="29"/>
      </c>
      <c r="AO123" s="385">
        <f t="shared" si="16"/>
      </c>
      <c r="AQ123" s="386">
        <f t="shared" si="17"/>
      </c>
      <c r="AR123" s="386">
        <f t="shared" si="13"/>
      </c>
      <c r="AS123" s="386">
        <f t="shared" si="18"/>
      </c>
      <c r="AT123" s="386">
        <f t="shared" si="19"/>
      </c>
      <c r="AU123" s="381">
        <f t="shared" si="9"/>
        <v>0</v>
      </c>
      <c r="AV123" s="386">
        <f t="shared" si="20"/>
      </c>
      <c r="AW123" s="386">
        <f t="shared" si="14"/>
      </c>
      <c r="AX123" s="386">
        <f t="shared" si="21"/>
      </c>
      <c r="AY123" s="386">
        <f t="shared" si="22"/>
      </c>
      <c r="AZ123" s="381">
        <f t="shared" si="4"/>
        <v>0</v>
      </c>
      <c r="BA123" s="386">
        <f t="shared" si="23"/>
      </c>
      <c r="BB123" s="386">
        <f t="shared" si="24"/>
      </c>
      <c r="BC123" s="386">
        <f t="shared" si="25"/>
      </c>
      <c r="BD123" s="386">
        <f t="shared" si="26"/>
      </c>
      <c r="BE123" s="386">
        <f t="shared" si="27"/>
      </c>
      <c r="BF123" s="387">
        <f t="shared" si="28"/>
      </c>
      <c r="BG123" s="339">
        <f t="shared" si="5"/>
      </c>
      <c r="BH123" s="339">
        <f t="shared" si="6"/>
      </c>
      <c r="BI123" s="339">
        <f t="shared" si="7"/>
        <v>0</v>
      </c>
      <c r="BJ123" s="339">
        <f t="shared" si="10"/>
      </c>
      <c r="BK123" s="339">
        <f t="shared" si="11"/>
      </c>
      <c r="BL123" s="339">
        <f t="shared" si="12"/>
      </c>
      <c r="BM123" s="339">
        <f t="shared" si="8"/>
      </c>
    </row>
    <row r="124" spans="15:65" s="339" customFormat="1" ht="16.5" hidden="1" thickBot="1" thickTop="1">
      <c r="O124" s="339">
        <v>24</v>
      </c>
      <c r="Q124" s="339">
        <v>18</v>
      </c>
      <c r="R124" s="339">
        <v>1984</v>
      </c>
      <c r="X124" s="339">
        <v>1</v>
      </c>
      <c r="Y124" s="390">
        <v>10900</v>
      </c>
      <c r="Z124" s="390">
        <v>14860</v>
      </c>
      <c r="AA124" s="390">
        <v>18030</v>
      </c>
      <c r="AB124" s="390">
        <v>19050</v>
      </c>
      <c r="AC124" s="390">
        <v>11200</v>
      </c>
      <c r="AD124" s="359" t="s">
        <v>558</v>
      </c>
      <c r="AE124" s="391"/>
      <c r="AF124" s="391"/>
      <c r="AG124" s="391"/>
      <c r="AH124" s="339">
        <v>10</v>
      </c>
      <c r="AK124" s="361">
        <f>DATE(YEAR(AK$123),MONTH(AK123)+1,DAY(AK$115))</f>
        <v>41944</v>
      </c>
      <c r="AL124" s="375">
        <f t="shared" si="15"/>
        <v>41913</v>
      </c>
      <c r="AM124" s="375">
        <f t="shared" si="29"/>
      </c>
      <c r="AO124" s="385">
        <f t="shared" si="16"/>
      </c>
      <c r="AQ124" s="386">
        <f t="shared" si="17"/>
      </c>
      <c r="AR124" s="386">
        <f t="shared" si="13"/>
      </c>
      <c r="AS124" s="386">
        <f t="shared" si="18"/>
      </c>
      <c r="AT124" s="386">
        <f t="shared" si="19"/>
      </c>
      <c r="AU124" s="381">
        <f t="shared" si="9"/>
        <v>0</v>
      </c>
      <c r="AV124" s="386">
        <f t="shared" si="20"/>
      </c>
      <c r="AW124" s="386">
        <f t="shared" si="14"/>
      </c>
      <c r="AX124" s="386">
        <f t="shared" si="21"/>
      </c>
      <c r="AY124" s="386">
        <f t="shared" si="22"/>
      </c>
      <c r="AZ124" s="381">
        <f t="shared" si="4"/>
        <v>0</v>
      </c>
      <c r="BA124" s="386">
        <f t="shared" si="23"/>
      </c>
      <c r="BB124" s="386">
        <f t="shared" si="24"/>
      </c>
      <c r="BC124" s="386">
        <f t="shared" si="25"/>
      </c>
      <c r="BD124" s="386">
        <f t="shared" si="26"/>
      </c>
      <c r="BE124" s="386">
        <f t="shared" si="27"/>
      </c>
      <c r="BF124" s="387">
        <f t="shared" si="28"/>
      </c>
      <c r="BG124" s="339">
        <f t="shared" si="5"/>
      </c>
      <c r="BH124" s="339">
        <f t="shared" si="6"/>
      </c>
      <c r="BI124" s="339">
        <f t="shared" si="7"/>
        <v>0</v>
      </c>
      <c r="BJ124" s="339">
        <f t="shared" si="10"/>
      </c>
      <c r="BK124" s="339">
        <f t="shared" si="11"/>
      </c>
      <c r="BL124" s="339">
        <f t="shared" si="12"/>
      </c>
      <c r="BM124" s="339">
        <f t="shared" si="8"/>
      </c>
    </row>
    <row r="125" spans="12:65" s="339" customFormat="1" ht="16.5" hidden="1" thickBot="1" thickTop="1">
      <c r="L125" s="339">
        <v>1</v>
      </c>
      <c r="O125" s="339">
        <v>25</v>
      </c>
      <c r="Q125" s="339">
        <v>19</v>
      </c>
      <c r="R125" s="339">
        <v>1985</v>
      </c>
      <c r="X125" s="339">
        <v>2</v>
      </c>
      <c r="Y125" s="390">
        <v>11200</v>
      </c>
      <c r="Z125" s="390">
        <v>14860</v>
      </c>
      <c r="AA125" s="390">
        <v>18030</v>
      </c>
      <c r="AB125" s="390">
        <v>19050</v>
      </c>
      <c r="AC125" s="390">
        <v>11530</v>
      </c>
      <c r="AD125" s="359" t="s">
        <v>559</v>
      </c>
      <c r="AE125" s="391"/>
      <c r="AF125" s="391"/>
      <c r="AG125" s="391"/>
      <c r="AH125" s="339">
        <v>11</v>
      </c>
      <c r="AK125" s="361">
        <f>DATE(YEAR(AK$124),MONTH(AK124)+1,DAY(AK$115))</f>
        <v>41974</v>
      </c>
      <c r="AL125" s="375">
        <f t="shared" si="15"/>
        <v>41944</v>
      </c>
      <c r="AM125" s="375">
        <f t="shared" si="29"/>
      </c>
      <c r="AO125" s="385">
        <f t="shared" si="16"/>
      </c>
      <c r="AQ125" s="386">
        <f t="shared" si="17"/>
      </c>
      <c r="AR125" s="386">
        <f t="shared" si="13"/>
      </c>
      <c r="AS125" s="386">
        <f t="shared" si="18"/>
      </c>
      <c r="AT125" s="386">
        <f t="shared" si="19"/>
      </c>
      <c r="AU125" s="381">
        <f t="shared" si="9"/>
        <v>0</v>
      </c>
      <c r="AV125" s="386">
        <f t="shared" si="20"/>
      </c>
      <c r="AW125" s="386">
        <f t="shared" si="14"/>
      </c>
      <c r="AX125" s="386">
        <f t="shared" si="21"/>
      </c>
      <c r="AY125" s="386">
        <f t="shared" si="22"/>
      </c>
      <c r="AZ125" s="381">
        <f t="shared" si="4"/>
        <v>0</v>
      </c>
      <c r="BA125" s="386">
        <f t="shared" si="23"/>
      </c>
      <c r="BB125" s="386">
        <f t="shared" si="24"/>
      </c>
      <c r="BC125" s="386">
        <f t="shared" si="25"/>
      </c>
      <c r="BD125" s="386">
        <f t="shared" si="26"/>
      </c>
      <c r="BE125" s="386">
        <f t="shared" si="27"/>
      </c>
      <c r="BF125" s="387">
        <f t="shared" si="28"/>
      </c>
      <c r="BG125" s="339">
        <f t="shared" si="5"/>
      </c>
      <c r="BH125" s="339">
        <f t="shared" si="6"/>
      </c>
      <c r="BI125" s="339">
        <f t="shared" si="7"/>
        <v>0</v>
      </c>
      <c r="BJ125" s="339">
        <f t="shared" si="10"/>
      </c>
      <c r="BK125" s="339">
        <f t="shared" si="11"/>
      </c>
      <c r="BL125" s="339">
        <f t="shared" si="12"/>
      </c>
      <c r="BM125" s="339">
        <f t="shared" si="8"/>
      </c>
    </row>
    <row r="126" spans="12:65" s="339" customFormat="1" ht="16.5" hidden="1" thickBot="1" thickTop="1">
      <c r="L126" s="339">
        <v>2</v>
      </c>
      <c r="O126" s="339">
        <v>26</v>
      </c>
      <c r="Q126" s="339">
        <v>20</v>
      </c>
      <c r="R126" s="339">
        <v>1986</v>
      </c>
      <c r="X126" s="339">
        <v>3</v>
      </c>
      <c r="Y126" s="390">
        <v>11530</v>
      </c>
      <c r="Z126" s="390">
        <v>14860</v>
      </c>
      <c r="AA126" s="390">
        <v>18030</v>
      </c>
      <c r="AB126" s="390">
        <v>19050</v>
      </c>
      <c r="AC126" s="390">
        <v>11860</v>
      </c>
      <c r="AD126" s="359"/>
      <c r="AE126" s="391"/>
      <c r="AF126" s="391"/>
      <c r="AG126" s="391"/>
      <c r="AH126" s="339">
        <v>12</v>
      </c>
      <c r="AL126" s="375">
        <f t="shared" si="15"/>
        <v>41974</v>
      </c>
      <c r="AM126" s="375">
        <f t="shared" si="29"/>
      </c>
      <c r="AO126" s="385">
        <f t="shared" si="16"/>
      </c>
      <c r="AQ126" s="386">
        <f t="shared" si="17"/>
      </c>
      <c r="AR126" s="386">
        <f t="shared" si="13"/>
      </c>
      <c r="AS126" s="386">
        <f t="shared" si="18"/>
      </c>
      <c r="AT126" s="386">
        <f t="shared" si="19"/>
      </c>
      <c r="AU126" s="381">
        <f t="shared" si="9"/>
        <v>0</v>
      </c>
      <c r="AV126" s="386">
        <f t="shared" si="20"/>
      </c>
      <c r="AW126" s="386">
        <f t="shared" si="14"/>
      </c>
      <c r="AX126" s="386">
        <f t="shared" si="21"/>
      </c>
      <c r="AY126" s="386">
        <f t="shared" si="22"/>
      </c>
      <c r="AZ126" s="381">
        <f t="shared" si="4"/>
        <v>0</v>
      </c>
      <c r="BA126" s="386">
        <f t="shared" si="23"/>
      </c>
      <c r="BB126" s="386">
        <f t="shared" si="24"/>
      </c>
      <c r="BC126" s="386">
        <f t="shared" si="25"/>
      </c>
      <c r="BD126" s="386">
        <f t="shared" si="26"/>
      </c>
      <c r="BE126" s="386">
        <f t="shared" si="27"/>
      </c>
      <c r="BF126" s="387">
        <f t="shared" si="28"/>
      </c>
      <c r="BG126" s="339">
        <f t="shared" si="5"/>
      </c>
      <c r="BH126" s="339">
        <f t="shared" si="6"/>
      </c>
      <c r="BI126" s="339">
        <f t="shared" si="7"/>
        <v>0</v>
      </c>
      <c r="BJ126" s="339">
        <f t="shared" si="10"/>
      </c>
      <c r="BK126" s="339">
        <f t="shared" si="11"/>
      </c>
      <c r="BL126" s="339">
        <f t="shared" si="12"/>
      </c>
      <c r="BM126" s="339">
        <f t="shared" si="8"/>
      </c>
    </row>
    <row r="127" spans="12:62" s="339" customFormat="1" ht="16.5" hidden="1" thickBot="1" thickTop="1">
      <c r="L127" s="339">
        <v>3</v>
      </c>
      <c r="O127" s="339">
        <v>27</v>
      </c>
      <c r="Q127" s="339">
        <v>21</v>
      </c>
      <c r="R127" s="339">
        <v>1987</v>
      </c>
      <c r="S127" s="339">
        <v>1</v>
      </c>
      <c r="T127" s="339" t="s">
        <v>462</v>
      </c>
      <c r="U127" s="339" t="s">
        <v>476</v>
      </c>
      <c r="X127" s="339">
        <v>4</v>
      </c>
      <c r="Y127" s="390">
        <v>11860</v>
      </c>
      <c r="Z127" s="390">
        <v>14860</v>
      </c>
      <c r="AA127" s="390">
        <v>18030</v>
      </c>
      <c r="AB127" s="390">
        <v>19050</v>
      </c>
      <c r="AC127" s="390">
        <v>12190</v>
      </c>
      <c r="AD127" s="392">
        <v>2</v>
      </c>
      <c r="AE127" s="391"/>
      <c r="AF127" s="391"/>
      <c r="AG127" s="391"/>
      <c r="AH127" s="359">
        <v>13</v>
      </c>
      <c r="AL127" s="339" t="s">
        <v>470</v>
      </c>
      <c r="AM127" s="375">
        <f t="shared" si="29"/>
      </c>
      <c r="AP127" s="393"/>
      <c r="AQ127" s="393">
        <f>SUBTOTAL(9,AQ115:AQ126)</f>
        <v>17190</v>
      </c>
      <c r="AR127" s="393">
        <f>SUBTOTAL(9,AR115:AR126)</f>
        <v>10889</v>
      </c>
      <c r="AS127" s="393">
        <f>SUBTOTAL(9,AS115:AS126)</f>
        <v>2063</v>
      </c>
      <c r="AT127" s="393">
        <f>SUBTOTAL(9,AT115:AT126)</f>
        <v>30142</v>
      </c>
      <c r="AU127" s="381">
        <f t="shared" si="9"/>
        <v>0</v>
      </c>
      <c r="AV127" s="393">
        <f>SUBTOTAL(9,AV115:AV126)</f>
        <v>16719</v>
      </c>
      <c r="AW127" s="393">
        <f>SUBTOTAL(9,AW115:AW126)</f>
        <v>10590</v>
      </c>
      <c r="AX127" s="393">
        <f>SUBTOTAL(9,AX115:AX126)</f>
        <v>2006</v>
      </c>
      <c r="AY127" s="393">
        <f>SUBTOTAL(9,AY115:AY126)</f>
        <v>29315</v>
      </c>
      <c r="AZ127" s="381">
        <f t="shared" si="4"/>
        <v>0</v>
      </c>
      <c r="BA127" s="393">
        <f aca="true" t="shared" si="30" ref="BA127:BF127">SUBTOTAL(9,BA115:BA126)</f>
        <v>471</v>
      </c>
      <c r="BB127" s="393">
        <f t="shared" si="30"/>
        <v>299</v>
      </c>
      <c r="BC127" s="393">
        <f t="shared" si="30"/>
        <v>57</v>
      </c>
      <c r="BD127" s="393">
        <f t="shared" si="30"/>
        <v>827</v>
      </c>
      <c r="BE127" s="393">
        <f t="shared" si="30"/>
        <v>0</v>
      </c>
      <c r="BF127" s="394">
        <f t="shared" si="30"/>
        <v>827</v>
      </c>
      <c r="BH127" s="339">
        <f>SUM(BH115:BH126)</f>
        <v>78</v>
      </c>
      <c r="BI127" s="339">
        <f>IF(V$129=1,0,BH127)</f>
        <v>0</v>
      </c>
      <c r="BJ127" s="339">
        <f>SUM(BJ115:BJ126)</f>
        <v>827</v>
      </c>
    </row>
    <row r="128" spans="12:34" s="339" customFormat="1" ht="15.75" hidden="1" thickTop="1">
      <c r="L128" s="339">
        <v>4</v>
      </c>
      <c r="O128" s="339">
        <v>28</v>
      </c>
      <c r="Q128" s="339">
        <v>22</v>
      </c>
      <c r="R128" s="339">
        <v>1988</v>
      </c>
      <c r="S128" s="339">
        <v>2</v>
      </c>
      <c r="T128" s="339" t="s">
        <v>463</v>
      </c>
      <c r="U128" s="339" t="s">
        <v>477</v>
      </c>
      <c r="X128" s="339">
        <v>5</v>
      </c>
      <c r="Y128" s="390">
        <v>12190</v>
      </c>
      <c r="Z128" s="390">
        <v>14860</v>
      </c>
      <c r="AA128" s="390">
        <v>18030</v>
      </c>
      <c r="AB128" s="390">
        <v>19050</v>
      </c>
      <c r="AC128" s="390">
        <v>12550</v>
      </c>
      <c r="AD128" s="359" t="str">
        <f>VLOOKUP(AD127,X124:AD125,7,FALSE)</f>
        <v>TELANGANA</v>
      </c>
      <c r="AE128" s="391"/>
      <c r="AF128" s="391"/>
      <c r="AG128" s="391"/>
      <c r="AH128" s="359"/>
    </row>
    <row r="129" spans="12:34" s="339" customFormat="1" ht="15" hidden="1">
      <c r="L129" s="339">
        <v>5</v>
      </c>
      <c r="O129" s="339">
        <v>29</v>
      </c>
      <c r="Q129" s="339">
        <v>23</v>
      </c>
      <c r="R129" s="339">
        <v>1989</v>
      </c>
      <c r="S129" s="339">
        <v>3</v>
      </c>
      <c r="T129" s="339" t="s">
        <v>464</v>
      </c>
      <c r="V129" s="353">
        <v>1</v>
      </c>
      <c r="X129" s="339">
        <v>6</v>
      </c>
      <c r="Y129" s="390">
        <v>12550</v>
      </c>
      <c r="Z129" s="390">
        <v>14860</v>
      </c>
      <c r="AA129" s="390">
        <v>18030</v>
      </c>
      <c r="AB129" s="390">
        <v>19050</v>
      </c>
      <c r="AC129" s="390">
        <v>12910</v>
      </c>
      <c r="AD129" s="359"/>
      <c r="AE129" s="391"/>
      <c r="AF129" s="391"/>
      <c r="AG129" s="391"/>
      <c r="AH129" s="359"/>
    </row>
    <row r="130" spans="12:34" s="339" customFormat="1" ht="15" hidden="1">
      <c r="L130" s="339">
        <v>6</v>
      </c>
      <c r="O130" s="339">
        <v>30</v>
      </c>
      <c r="Q130" s="339">
        <v>24</v>
      </c>
      <c r="R130" s="339">
        <v>1990</v>
      </c>
      <c r="T130" s="353">
        <v>1</v>
      </c>
      <c r="U130" s="353">
        <v>1</v>
      </c>
      <c r="V130" s="339" t="str">
        <f>VLOOKUP(V129,S127:U128,3,FALSE)</f>
        <v>PF</v>
      </c>
      <c r="X130" s="339">
        <v>7</v>
      </c>
      <c r="Y130" s="390">
        <v>12910</v>
      </c>
      <c r="Z130" s="390">
        <v>14860</v>
      </c>
      <c r="AA130" s="390">
        <v>18030</v>
      </c>
      <c r="AB130" s="390">
        <v>19050</v>
      </c>
      <c r="AC130" s="390">
        <v>13270</v>
      </c>
      <c r="AD130" s="359"/>
      <c r="AE130" s="391"/>
      <c r="AF130" s="391"/>
      <c r="AG130" s="391"/>
      <c r="AH130" s="359"/>
    </row>
    <row r="131" spans="12:35" s="339" customFormat="1" ht="15" hidden="1">
      <c r="L131" s="339">
        <v>7</v>
      </c>
      <c r="O131" s="339">
        <v>31</v>
      </c>
      <c r="Q131" s="339">
        <v>25</v>
      </c>
      <c r="R131" s="339">
        <v>1991</v>
      </c>
      <c r="T131" s="339" t="str">
        <f>VLOOKUP(T130,S127:T129,2,FALSE)</f>
        <v>Sri.</v>
      </c>
      <c r="U131" s="339" t="str">
        <f>VLOOKUP(U130,S127:T129,2,FALSE)</f>
        <v>Sri.</v>
      </c>
      <c r="X131" s="339">
        <v>8</v>
      </c>
      <c r="Y131" s="390">
        <v>13270</v>
      </c>
      <c r="Z131" s="390">
        <v>14860</v>
      </c>
      <c r="AA131" s="390">
        <v>18030</v>
      </c>
      <c r="AB131" s="390">
        <v>19050</v>
      </c>
      <c r="AC131" s="390">
        <v>13660</v>
      </c>
      <c r="AD131" s="359"/>
      <c r="AE131" s="391"/>
      <c r="AF131" s="391"/>
      <c r="AG131" s="391"/>
      <c r="AH131" s="359"/>
      <c r="AI131" s="375">
        <f>AL115</f>
        <v>41660</v>
      </c>
    </row>
    <row r="132" spans="12:139" s="339" customFormat="1" ht="15" hidden="1">
      <c r="L132" s="339">
        <v>8</v>
      </c>
      <c r="O132" s="339">
        <v>32</v>
      </c>
      <c r="Q132" s="339">
        <v>26</v>
      </c>
      <c r="R132" s="339">
        <v>1992</v>
      </c>
      <c r="T132" s="339" t="str">
        <f>IF(T130=1," He","She")</f>
        <v> He</v>
      </c>
      <c r="X132" s="339">
        <v>9</v>
      </c>
      <c r="Y132" s="390">
        <v>13660</v>
      </c>
      <c r="Z132" s="390">
        <v>14860</v>
      </c>
      <c r="AA132" s="390">
        <v>18030</v>
      </c>
      <c r="AB132" s="390">
        <v>19050</v>
      </c>
      <c r="AC132" s="390">
        <v>14050</v>
      </c>
      <c r="AD132" s="359"/>
      <c r="AE132" s="391"/>
      <c r="AF132" s="391"/>
      <c r="AG132" s="391"/>
      <c r="AH132" s="359"/>
      <c r="AI132" s="375">
        <f aca="true" t="shared" si="31" ref="AI132:AI137">AL116</f>
        <v>41671</v>
      </c>
      <c r="AO132" s="340">
        <v>1</v>
      </c>
      <c r="AP132" s="340">
        <v>2</v>
      </c>
      <c r="AQ132" s="340">
        <v>3</v>
      </c>
      <c r="AR132" s="340">
        <v>4</v>
      </c>
      <c r="AS132" s="340">
        <v>5</v>
      </c>
      <c r="AT132" s="340">
        <v>6</v>
      </c>
      <c r="AU132" s="340">
        <v>7</v>
      </c>
      <c r="AV132" s="340">
        <v>8</v>
      </c>
      <c r="AW132" s="340">
        <v>9</v>
      </c>
      <c r="AX132" s="340">
        <v>10</v>
      </c>
      <c r="AY132" s="340">
        <v>11</v>
      </c>
      <c r="AZ132" s="340">
        <v>12</v>
      </c>
      <c r="BA132" s="340">
        <v>13</v>
      </c>
      <c r="BB132" s="340">
        <v>14</v>
      </c>
      <c r="BC132" s="340">
        <v>15</v>
      </c>
      <c r="BD132" s="340">
        <v>16</v>
      </c>
      <c r="BE132" s="340">
        <v>17</v>
      </c>
      <c r="BF132" s="340">
        <v>18</v>
      </c>
      <c r="BG132" s="340">
        <v>19</v>
      </c>
      <c r="BH132" s="340">
        <v>20</v>
      </c>
      <c r="BI132" s="340">
        <v>21</v>
      </c>
      <c r="BJ132" s="340">
        <v>22</v>
      </c>
      <c r="BK132" s="340">
        <v>23</v>
      </c>
      <c r="BL132" s="340">
        <v>24</v>
      </c>
      <c r="BM132" s="340">
        <v>25</v>
      </c>
      <c r="BN132" s="340">
        <v>26</v>
      </c>
      <c r="BO132" s="340">
        <v>27</v>
      </c>
      <c r="BP132" s="340">
        <v>28</v>
      </c>
      <c r="BQ132" s="340">
        <v>29</v>
      </c>
      <c r="BR132" s="340">
        <v>30</v>
      </c>
      <c r="BS132" s="340">
        <v>31</v>
      </c>
      <c r="BT132" s="340">
        <v>32</v>
      </c>
      <c r="BU132" s="340">
        <v>33</v>
      </c>
      <c r="BV132" s="340">
        <v>34</v>
      </c>
      <c r="BW132" s="340">
        <v>35</v>
      </c>
      <c r="BX132" s="340">
        <v>36</v>
      </c>
      <c r="BY132" s="340">
        <v>37</v>
      </c>
      <c r="BZ132" s="340">
        <v>38</v>
      </c>
      <c r="CA132" s="340">
        <v>39</v>
      </c>
      <c r="CB132" s="340">
        <v>40</v>
      </c>
      <c r="CC132" s="340">
        <v>41</v>
      </c>
      <c r="CD132" s="340">
        <v>42</v>
      </c>
      <c r="CE132" s="340">
        <v>43</v>
      </c>
      <c r="CF132" s="340">
        <v>44</v>
      </c>
      <c r="CG132" s="340">
        <v>45</v>
      </c>
      <c r="CH132" s="340">
        <v>46</v>
      </c>
      <c r="CI132" s="340">
        <v>47</v>
      </c>
      <c r="CJ132" s="340">
        <v>48</v>
      </c>
      <c r="CK132" s="340">
        <v>49</v>
      </c>
      <c r="CL132" s="340">
        <v>50</v>
      </c>
      <c r="CM132" s="340">
        <v>51</v>
      </c>
      <c r="CN132" s="340">
        <v>52</v>
      </c>
      <c r="CO132" s="340">
        <v>53</v>
      </c>
      <c r="CP132" s="340">
        <v>54</v>
      </c>
      <c r="CQ132" s="340">
        <v>55</v>
      </c>
      <c r="CR132" s="340">
        <v>56</v>
      </c>
      <c r="CS132" s="340">
        <v>57</v>
      </c>
      <c r="CT132" s="340">
        <v>58</v>
      </c>
      <c r="CU132" s="340">
        <v>59</v>
      </c>
      <c r="CV132" s="340">
        <v>60</v>
      </c>
      <c r="CW132" s="340">
        <v>61</v>
      </c>
      <c r="CX132" s="340">
        <v>62</v>
      </c>
      <c r="CY132" s="340">
        <v>63</v>
      </c>
      <c r="CZ132" s="340">
        <v>64</v>
      </c>
      <c r="DA132" s="340">
        <v>65</v>
      </c>
      <c r="DB132" s="340">
        <v>66</v>
      </c>
      <c r="DC132" s="340">
        <v>67</v>
      </c>
      <c r="DD132" s="340">
        <v>68</v>
      </c>
      <c r="DE132" s="340">
        <v>69</v>
      </c>
      <c r="DF132" s="340">
        <v>70</v>
      </c>
      <c r="DG132" s="340">
        <v>71</v>
      </c>
      <c r="DH132" s="340">
        <v>72</v>
      </c>
      <c r="DI132" s="340">
        <v>73</v>
      </c>
      <c r="DJ132" s="340">
        <v>74</v>
      </c>
      <c r="DK132" s="340">
        <v>75</v>
      </c>
      <c r="DL132" s="340">
        <v>76</v>
      </c>
      <c r="DM132" s="340">
        <v>77</v>
      </c>
      <c r="DN132" s="340">
        <v>78</v>
      </c>
      <c r="DO132" s="340">
        <v>79</v>
      </c>
      <c r="DP132" s="340">
        <v>80</v>
      </c>
      <c r="DQ132" s="340">
        <v>81</v>
      </c>
      <c r="DR132" s="340">
        <v>82</v>
      </c>
      <c r="DS132" s="340">
        <v>83</v>
      </c>
      <c r="DT132" s="340">
        <v>84</v>
      </c>
      <c r="DU132" s="340">
        <v>85</v>
      </c>
      <c r="DV132" s="340">
        <v>86</v>
      </c>
      <c r="DW132" s="340">
        <v>87</v>
      </c>
      <c r="DX132" s="340">
        <v>88</v>
      </c>
      <c r="DY132" s="340">
        <v>89</v>
      </c>
      <c r="DZ132" s="340">
        <v>90</v>
      </c>
      <c r="EA132" s="340">
        <v>91</v>
      </c>
      <c r="EB132" s="340">
        <v>92</v>
      </c>
      <c r="EC132" s="340">
        <v>93</v>
      </c>
      <c r="ED132" s="340">
        <v>94</v>
      </c>
      <c r="EE132" s="340">
        <v>95</v>
      </c>
      <c r="EF132" s="340">
        <v>96</v>
      </c>
      <c r="EG132" s="340">
        <v>97</v>
      </c>
      <c r="EH132" s="340">
        <v>98</v>
      </c>
      <c r="EI132" s="340">
        <v>99</v>
      </c>
    </row>
    <row r="133" spans="12:139" s="339" customFormat="1" ht="15" hidden="1">
      <c r="L133" s="339">
        <v>9</v>
      </c>
      <c r="O133" s="339">
        <v>33</v>
      </c>
      <c r="Q133" s="339">
        <v>27</v>
      </c>
      <c r="R133" s="339">
        <v>1993</v>
      </c>
      <c r="T133" s="339" t="str">
        <f>IF(T130=1," his ","her ")</f>
        <v> his </v>
      </c>
      <c r="X133" s="339">
        <v>10</v>
      </c>
      <c r="Y133" s="390">
        <v>14050</v>
      </c>
      <c r="Z133" s="390">
        <v>14860</v>
      </c>
      <c r="AA133" s="390">
        <v>18030</v>
      </c>
      <c r="AB133" s="390">
        <v>19050</v>
      </c>
      <c r="AC133" s="390">
        <v>14440</v>
      </c>
      <c r="AD133" s="359"/>
      <c r="AE133" s="391"/>
      <c r="AF133" s="391"/>
      <c r="AG133" s="391"/>
      <c r="AH133" s="359"/>
      <c r="AI133" s="375">
        <f t="shared" si="31"/>
        <v>41699</v>
      </c>
      <c r="AO133" s="340" t="s">
        <v>273</v>
      </c>
      <c r="AP133" s="340" t="s">
        <v>274</v>
      </c>
      <c r="AQ133" s="340" t="s">
        <v>275</v>
      </c>
      <c r="AR133" s="340" t="s">
        <v>276</v>
      </c>
      <c r="AS133" s="340" t="s">
        <v>277</v>
      </c>
      <c r="AT133" s="340" t="s">
        <v>278</v>
      </c>
      <c r="AU133" s="340" t="s">
        <v>279</v>
      </c>
      <c r="AV133" s="340" t="s">
        <v>280</v>
      </c>
      <c r="AW133" s="340" t="s">
        <v>281</v>
      </c>
      <c r="AX133" s="340" t="s">
        <v>282</v>
      </c>
      <c r="AY133" s="340" t="s">
        <v>283</v>
      </c>
      <c r="AZ133" s="340" t="s">
        <v>284</v>
      </c>
      <c r="BA133" s="340" t="s">
        <v>285</v>
      </c>
      <c r="BB133" s="340" t="s">
        <v>286</v>
      </c>
      <c r="BC133" s="340" t="s">
        <v>287</v>
      </c>
      <c r="BD133" s="340" t="s">
        <v>288</v>
      </c>
      <c r="BE133" s="340" t="s">
        <v>289</v>
      </c>
      <c r="BF133" s="340" t="s">
        <v>290</v>
      </c>
      <c r="BG133" s="340" t="s">
        <v>291</v>
      </c>
      <c r="BH133" s="340" t="s">
        <v>292</v>
      </c>
      <c r="BI133" s="340" t="s">
        <v>293</v>
      </c>
      <c r="BJ133" s="340" t="s">
        <v>294</v>
      </c>
      <c r="BK133" s="340" t="s">
        <v>295</v>
      </c>
      <c r="BL133" s="340" t="s">
        <v>296</v>
      </c>
      <c r="BM133" s="340" t="s">
        <v>297</v>
      </c>
      <c r="BN133" s="340" t="s">
        <v>298</v>
      </c>
      <c r="BO133" s="340" t="s">
        <v>299</v>
      </c>
      <c r="BP133" s="340" t="s">
        <v>300</v>
      </c>
      <c r="BQ133" s="340" t="s">
        <v>301</v>
      </c>
      <c r="BR133" s="340" t="s">
        <v>302</v>
      </c>
      <c r="BS133" s="340" t="s">
        <v>303</v>
      </c>
      <c r="BT133" s="340" t="s">
        <v>304</v>
      </c>
      <c r="BU133" s="340" t="s">
        <v>305</v>
      </c>
      <c r="BV133" s="340" t="s">
        <v>306</v>
      </c>
      <c r="BW133" s="340" t="s">
        <v>307</v>
      </c>
      <c r="BX133" s="340" t="s">
        <v>308</v>
      </c>
      <c r="BY133" s="340" t="s">
        <v>309</v>
      </c>
      <c r="BZ133" s="340" t="s">
        <v>310</v>
      </c>
      <c r="CA133" s="340" t="s">
        <v>311</v>
      </c>
      <c r="CB133" s="340" t="s">
        <v>312</v>
      </c>
      <c r="CC133" s="340" t="s">
        <v>313</v>
      </c>
      <c r="CD133" s="340" t="s">
        <v>314</v>
      </c>
      <c r="CE133" s="340" t="s">
        <v>315</v>
      </c>
      <c r="CF133" s="340" t="s">
        <v>316</v>
      </c>
      <c r="CG133" s="340" t="s">
        <v>317</v>
      </c>
      <c r="CH133" s="340" t="s">
        <v>318</v>
      </c>
      <c r="CI133" s="340" t="s">
        <v>319</v>
      </c>
      <c r="CJ133" s="340" t="s">
        <v>320</v>
      </c>
      <c r="CK133" s="340" t="s">
        <v>321</v>
      </c>
      <c r="CL133" s="340" t="s">
        <v>322</v>
      </c>
      <c r="CM133" s="340" t="s">
        <v>323</v>
      </c>
      <c r="CN133" s="340" t="s">
        <v>324</v>
      </c>
      <c r="CO133" s="340" t="s">
        <v>325</v>
      </c>
      <c r="CP133" s="340" t="s">
        <v>326</v>
      </c>
      <c r="CQ133" s="340" t="s">
        <v>327</v>
      </c>
      <c r="CR133" s="340" t="s">
        <v>328</v>
      </c>
      <c r="CS133" s="340" t="s">
        <v>329</v>
      </c>
      <c r="CT133" s="340" t="s">
        <v>330</v>
      </c>
      <c r="CU133" s="340" t="s">
        <v>331</v>
      </c>
      <c r="CV133" s="340" t="s">
        <v>332</v>
      </c>
      <c r="CW133" s="340" t="s">
        <v>333</v>
      </c>
      <c r="CX133" s="340" t="s">
        <v>334</v>
      </c>
      <c r="CY133" s="340" t="s">
        <v>335</v>
      </c>
      <c r="CZ133" s="340" t="s">
        <v>336</v>
      </c>
      <c r="DA133" s="340" t="s">
        <v>337</v>
      </c>
      <c r="DB133" s="340" t="s">
        <v>338</v>
      </c>
      <c r="DC133" s="340" t="s">
        <v>339</v>
      </c>
      <c r="DD133" s="340" t="s">
        <v>340</v>
      </c>
      <c r="DE133" s="340" t="s">
        <v>341</v>
      </c>
      <c r="DF133" s="340" t="s">
        <v>342</v>
      </c>
      <c r="DG133" s="340" t="s">
        <v>343</v>
      </c>
      <c r="DH133" s="340" t="s">
        <v>344</v>
      </c>
      <c r="DI133" s="340" t="s">
        <v>345</v>
      </c>
      <c r="DJ133" s="340" t="s">
        <v>346</v>
      </c>
      <c r="DK133" s="340" t="s">
        <v>347</v>
      </c>
      <c r="DL133" s="340" t="s">
        <v>348</v>
      </c>
      <c r="DM133" s="340" t="s">
        <v>349</v>
      </c>
      <c r="DN133" s="340" t="s">
        <v>350</v>
      </c>
      <c r="DO133" s="340" t="s">
        <v>351</v>
      </c>
      <c r="DP133" s="340" t="s">
        <v>352</v>
      </c>
      <c r="DQ133" s="340" t="s">
        <v>353</v>
      </c>
      <c r="DR133" s="340" t="s">
        <v>354</v>
      </c>
      <c r="DS133" s="340" t="s">
        <v>355</v>
      </c>
      <c r="DT133" s="340" t="s">
        <v>356</v>
      </c>
      <c r="DU133" s="340" t="s">
        <v>357</v>
      </c>
      <c r="DV133" s="340" t="s">
        <v>358</v>
      </c>
      <c r="DW133" s="340" t="s">
        <v>359</v>
      </c>
      <c r="DX133" s="340" t="s">
        <v>360</v>
      </c>
      <c r="DY133" s="340" t="s">
        <v>361</v>
      </c>
      <c r="DZ133" s="340" t="s">
        <v>362</v>
      </c>
      <c r="EA133" s="340" t="s">
        <v>363</v>
      </c>
      <c r="EB133" s="340" t="s">
        <v>364</v>
      </c>
      <c r="EC133" s="340" t="s">
        <v>365</v>
      </c>
      <c r="ED133" s="340" t="s">
        <v>366</v>
      </c>
      <c r="EE133" s="340" t="s">
        <v>367</v>
      </c>
      <c r="EF133" s="340" t="s">
        <v>368</v>
      </c>
      <c r="EG133" s="340" t="s">
        <v>369</v>
      </c>
      <c r="EH133" s="340" t="s">
        <v>370</v>
      </c>
      <c r="EI133" s="340" t="s">
        <v>371</v>
      </c>
    </row>
    <row r="134" spans="12:35" s="339" customFormat="1" ht="15" hidden="1">
      <c r="L134" s="339">
        <v>10</v>
      </c>
      <c r="M134" s="339">
        <v>1</v>
      </c>
      <c r="O134" s="339">
        <v>34</v>
      </c>
      <c r="Q134" s="339">
        <v>28</v>
      </c>
      <c r="R134" s="339">
        <v>1994</v>
      </c>
      <c r="X134" s="339">
        <v>11</v>
      </c>
      <c r="Y134" s="390">
        <v>14440</v>
      </c>
      <c r="Z134" s="390">
        <v>14860</v>
      </c>
      <c r="AA134" s="390">
        <v>18030</v>
      </c>
      <c r="AB134" s="390">
        <v>19050</v>
      </c>
      <c r="AC134" s="390">
        <v>14860</v>
      </c>
      <c r="AD134" s="359"/>
      <c r="AE134" s="391"/>
      <c r="AF134" s="391"/>
      <c r="AG134" s="391"/>
      <c r="AH134" s="359"/>
      <c r="AI134" s="375">
        <f t="shared" si="31"/>
        <v>41730</v>
      </c>
    </row>
    <row r="135" spans="12:35" s="339" customFormat="1" ht="15" hidden="1">
      <c r="L135" s="339">
        <v>11</v>
      </c>
      <c r="M135" s="339">
        <v>2</v>
      </c>
      <c r="O135" s="339">
        <v>35</v>
      </c>
      <c r="Q135" s="339">
        <v>29</v>
      </c>
      <c r="R135" s="339">
        <v>1995</v>
      </c>
      <c r="S135" s="339">
        <v>1</v>
      </c>
      <c r="T135" s="353">
        <v>9</v>
      </c>
      <c r="U135" s="353">
        <v>5</v>
      </c>
      <c r="X135" s="339">
        <v>12</v>
      </c>
      <c r="Y135" s="390">
        <v>14860</v>
      </c>
      <c r="Z135" s="390">
        <v>15280</v>
      </c>
      <c r="AA135" s="390">
        <v>18030</v>
      </c>
      <c r="AB135" s="390">
        <v>19050</v>
      </c>
      <c r="AC135" s="390">
        <v>15280</v>
      </c>
      <c r="AD135" s="359"/>
      <c r="AE135" s="391"/>
      <c r="AF135" s="391"/>
      <c r="AG135" s="391"/>
      <c r="AH135" s="359"/>
      <c r="AI135" s="375">
        <f t="shared" si="31"/>
        <v>41760</v>
      </c>
    </row>
    <row r="136" spans="12:35" s="339" customFormat="1" ht="15" hidden="1">
      <c r="L136" s="339">
        <v>12</v>
      </c>
      <c r="M136" s="339">
        <v>3</v>
      </c>
      <c r="O136" s="339">
        <v>36</v>
      </c>
      <c r="Q136" s="339">
        <v>30</v>
      </c>
      <c r="R136" s="339">
        <v>1996</v>
      </c>
      <c r="S136" s="395" t="s">
        <v>466</v>
      </c>
      <c r="T136" s="339" t="str">
        <f>VLOOKUP(T135,U103:X114,4,FALSE)</f>
        <v>Sep</v>
      </c>
      <c r="U136" s="339">
        <f>VLOOKUP(U135,Q152:R157,2,FALSE)</f>
        <v>2016</v>
      </c>
      <c r="X136" s="339">
        <v>13</v>
      </c>
      <c r="Y136" s="390">
        <v>15280</v>
      </c>
      <c r="Z136" s="390">
        <v>15700</v>
      </c>
      <c r="AA136" s="390">
        <v>18030</v>
      </c>
      <c r="AB136" s="390">
        <v>19050</v>
      </c>
      <c r="AC136" s="390">
        <v>15700</v>
      </c>
      <c r="AD136" s="359"/>
      <c r="AE136" s="391"/>
      <c r="AF136" s="391"/>
      <c r="AG136" s="391"/>
      <c r="AH136" s="359"/>
      <c r="AI136" s="375">
        <f t="shared" si="31"/>
        <v>41791</v>
      </c>
    </row>
    <row r="137" spans="12:35" s="339" customFormat="1" ht="15" hidden="1">
      <c r="L137" s="339">
        <v>13</v>
      </c>
      <c r="M137" s="339">
        <v>4</v>
      </c>
      <c r="O137" s="339">
        <v>37</v>
      </c>
      <c r="Q137" s="339">
        <v>31</v>
      </c>
      <c r="R137" s="339">
        <v>1997</v>
      </c>
      <c r="T137" s="339" t="str">
        <f>CONCATENATE(S135,"/",T135,"/",U136)</f>
        <v>1/9/2016</v>
      </c>
      <c r="X137" s="339">
        <v>14</v>
      </c>
      <c r="Y137" s="390">
        <v>15700</v>
      </c>
      <c r="Z137" s="390">
        <v>16150</v>
      </c>
      <c r="AA137" s="390">
        <v>18030</v>
      </c>
      <c r="AB137" s="390">
        <v>19050</v>
      </c>
      <c r="AC137" s="390">
        <v>16150</v>
      </c>
      <c r="AD137" s="359"/>
      <c r="AE137" s="391"/>
      <c r="AF137" s="391"/>
      <c r="AG137" s="391"/>
      <c r="AH137" s="359"/>
      <c r="AI137" s="375">
        <f t="shared" si="31"/>
        <v>41821</v>
      </c>
    </row>
    <row r="138" spans="12:45" s="339" customFormat="1" ht="15" hidden="1">
      <c r="L138" s="339">
        <v>14</v>
      </c>
      <c r="M138" s="339">
        <v>5</v>
      </c>
      <c r="O138" s="339">
        <v>38</v>
      </c>
      <c r="R138" s="339">
        <v>1998</v>
      </c>
      <c r="X138" s="339">
        <v>15</v>
      </c>
      <c r="Y138" s="390">
        <v>16150</v>
      </c>
      <c r="Z138" s="390">
        <v>16600</v>
      </c>
      <c r="AA138" s="390">
        <v>18030</v>
      </c>
      <c r="AB138" s="390">
        <v>19050</v>
      </c>
      <c r="AC138" s="390">
        <v>16600</v>
      </c>
      <c r="AD138" s="359"/>
      <c r="AE138" s="391"/>
      <c r="AF138" s="391"/>
      <c r="AG138" s="391"/>
      <c r="AH138" s="359"/>
      <c r="AI138" s="339" t="s">
        <v>470</v>
      </c>
      <c r="AK138" s="340" t="str">
        <f>IF(AK140=0," ",IF(AK140=1,"One Lakh",CONCATENATE(AK139," ",AK141)))</f>
        <v> </v>
      </c>
      <c r="AL138" s="340" t="str">
        <f>IF(AL140=0," ",IF(AL140=1,"One Thousand",CONCATENATE(AL139," ",AL141)))</f>
        <v> </v>
      </c>
      <c r="AM138" s="340" t="str">
        <f>IF(AM140=0," ",IF(AM140=1,"One Hundred",CONCATENATE(AM139," ",AM141)))</f>
        <v>Nine Hundred</v>
      </c>
      <c r="AN138" s="396" t="str">
        <f>IF(AN140=0," ",IF(AND(AK140=0,AL140=0,AM140=0),AN139,CONCATENATE("and"," ",AN139)))</f>
        <v>and Fifty Four</v>
      </c>
      <c r="AO138" s="340"/>
      <c r="AP138" s="340"/>
      <c r="AQ138" s="340"/>
      <c r="AR138" s="340"/>
      <c r="AS138" s="340"/>
    </row>
    <row r="139" spans="12:45" s="339" customFormat="1" ht="15" hidden="1">
      <c r="L139" s="339">
        <v>15</v>
      </c>
      <c r="M139" s="339">
        <v>6</v>
      </c>
      <c r="N139" s="339">
        <v>1</v>
      </c>
      <c r="O139" s="339" t="s">
        <v>501</v>
      </c>
      <c r="P139" s="340" t="s">
        <v>500</v>
      </c>
      <c r="Q139" s="340"/>
      <c r="R139" s="339">
        <v>1999</v>
      </c>
      <c r="X139" s="339">
        <v>16</v>
      </c>
      <c r="Y139" s="390">
        <v>16600</v>
      </c>
      <c r="Z139" s="390">
        <v>17050</v>
      </c>
      <c r="AA139" s="390">
        <v>18030</v>
      </c>
      <c r="AB139" s="390">
        <v>19050</v>
      </c>
      <c r="AC139" s="390">
        <v>17050</v>
      </c>
      <c r="AD139" s="359"/>
      <c r="AE139" s="391"/>
      <c r="AF139" s="391"/>
      <c r="AG139" s="391"/>
      <c r="AH139" s="359"/>
      <c r="AK139" s="340" t="e">
        <f>HLOOKUP(AK140,AO132:EI133,2,FALSE)</f>
        <v>#N/A</v>
      </c>
      <c r="AL139" s="340" t="e">
        <f>HLOOKUP(AL140,AO132:EI133,2,FALSE)</f>
        <v>#N/A</v>
      </c>
      <c r="AM139" s="340" t="str">
        <f>HLOOKUP(AM140,AO132:EI133,2,TRUE)</f>
        <v>Nine</v>
      </c>
      <c r="AN139" s="340" t="str">
        <f>HLOOKUP(AN140,AO132:EI133,2,TRUE)</f>
        <v>Fifty Four</v>
      </c>
      <c r="AO139" s="340"/>
      <c r="AP139" s="340"/>
      <c r="AQ139" s="340"/>
      <c r="AR139" s="340"/>
      <c r="AS139" s="340"/>
    </row>
    <row r="140" spans="12:45" s="339" customFormat="1" ht="15" hidden="1">
      <c r="L140" s="339">
        <v>16</v>
      </c>
      <c r="M140" s="339">
        <v>7</v>
      </c>
      <c r="N140" s="339">
        <v>2</v>
      </c>
      <c r="O140" s="401" t="s">
        <v>469</v>
      </c>
      <c r="P140" s="340" t="s">
        <v>266</v>
      </c>
      <c r="Q140" s="340"/>
      <c r="R140" s="339">
        <v>2000</v>
      </c>
      <c r="X140" s="339">
        <v>17</v>
      </c>
      <c r="Y140" s="390">
        <v>17050</v>
      </c>
      <c r="Z140" s="390">
        <v>17540</v>
      </c>
      <c r="AA140" s="390">
        <v>18030</v>
      </c>
      <c r="AB140" s="390">
        <v>19050</v>
      </c>
      <c r="AC140" s="390">
        <v>17540</v>
      </c>
      <c r="AD140" s="359"/>
      <c r="AE140" s="391"/>
      <c r="AF140" s="391"/>
      <c r="AG140" s="391"/>
      <c r="AH140" s="359"/>
      <c r="AK140" s="340">
        <f>INT(AK142/100000)</f>
        <v>0</v>
      </c>
      <c r="AL140" s="340">
        <f>INT(AK142/1000)-(AK140*100)</f>
        <v>0</v>
      </c>
      <c r="AM140" s="340">
        <f>INT(AK142/100)-(AK140*1000)-(AL140*10)</f>
        <v>9</v>
      </c>
      <c r="AN140" s="340">
        <f>AK142-(AK140*100000)-(AL140*1000)-(AM140*100)</f>
        <v>54</v>
      </c>
      <c r="AO140" s="340"/>
      <c r="AP140" s="340"/>
      <c r="AQ140" s="340"/>
      <c r="AR140" s="340"/>
      <c r="AS140" s="340"/>
    </row>
    <row r="141" spans="12:45" s="339" customFormat="1" ht="15" hidden="1">
      <c r="L141" s="339">
        <v>17</v>
      </c>
      <c r="M141" s="339">
        <v>8</v>
      </c>
      <c r="N141" s="339">
        <v>3</v>
      </c>
      <c r="O141" s="401" t="s">
        <v>4</v>
      </c>
      <c r="P141" s="340" t="s">
        <v>475</v>
      </c>
      <c r="Q141" s="340"/>
      <c r="R141" s="339">
        <v>2001</v>
      </c>
      <c r="T141" s="339">
        <v>1</v>
      </c>
      <c r="U141" s="339" t="s">
        <v>503</v>
      </c>
      <c r="V141" s="339">
        <v>5</v>
      </c>
      <c r="X141" s="339">
        <v>18</v>
      </c>
      <c r="Y141" s="390">
        <v>17540</v>
      </c>
      <c r="Z141" s="390">
        <v>18030</v>
      </c>
      <c r="AA141" s="390">
        <v>18030</v>
      </c>
      <c r="AB141" s="390">
        <v>19050</v>
      </c>
      <c r="AC141" s="390">
        <v>18030</v>
      </c>
      <c r="AD141" s="359"/>
      <c r="AE141" s="391"/>
      <c r="AF141" s="391"/>
      <c r="AG141" s="391"/>
      <c r="AH141" s="359"/>
      <c r="AK141" s="340" t="s">
        <v>372</v>
      </c>
      <c r="AL141" s="340" t="s">
        <v>373</v>
      </c>
      <c r="AM141" s="340" t="s">
        <v>374</v>
      </c>
      <c r="AN141" s="340"/>
      <c r="AO141" s="340"/>
      <c r="AP141" s="340"/>
      <c r="AQ141" s="340"/>
      <c r="AR141" s="340"/>
      <c r="AS141" s="340"/>
    </row>
    <row r="142" spans="12:45" s="339" customFormat="1" ht="15" hidden="1">
      <c r="L142" s="339">
        <v>18</v>
      </c>
      <c r="M142" s="339">
        <v>9</v>
      </c>
      <c r="N142" s="339">
        <v>4</v>
      </c>
      <c r="O142" s="401" t="s">
        <v>5</v>
      </c>
      <c r="P142" s="340" t="s">
        <v>510</v>
      </c>
      <c r="Q142" s="340"/>
      <c r="R142" s="339">
        <v>2002</v>
      </c>
      <c r="T142" s="339">
        <v>2</v>
      </c>
      <c r="U142" s="340" t="s">
        <v>264</v>
      </c>
      <c r="V142" s="339">
        <v>1</v>
      </c>
      <c r="X142" s="339">
        <v>19</v>
      </c>
      <c r="Y142" s="390">
        <v>18030</v>
      </c>
      <c r="Z142" s="390">
        <v>18520</v>
      </c>
      <c r="AA142" s="390">
        <v>18520</v>
      </c>
      <c r="AB142" s="390">
        <v>19050</v>
      </c>
      <c r="AC142" s="390">
        <v>18520</v>
      </c>
      <c r="AD142" s="359"/>
      <c r="AE142" s="391"/>
      <c r="AF142" s="391"/>
      <c r="AG142" s="391"/>
      <c r="AH142" s="359"/>
      <c r="AK142" s="340">
        <f>Bill!Z12</f>
        <v>954</v>
      </c>
      <c r="AL142" s="340" t="str">
        <f>IF(AK142=0,"Zero",CONCATENATE(AK138," ",AL138," ",AM138," ",AN138," rupees only "))</f>
        <v>    Nine Hundred and Fifty Four rupees only </v>
      </c>
      <c r="AM142" s="340"/>
      <c r="AN142" s="340"/>
      <c r="AO142" s="340"/>
      <c r="AP142" s="340"/>
      <c r="AQ142" s="340" t="str">
        <f>CONCATENATE(AL142,"  only")</f>
        <v>    Nine Hundred and Fifty Four rupees only   only</v>
      </c>
      <c r="AR142" s="340"/>
      <c r="AS142" s="340"/>
    </row>
    <row r="143" spans="12:45" s="339" customFormat="1" ht="15" hidden="1">
      <c r="L143" s="339">
        <v>19</v>
      </c>
      <c r="M143" s="339">
        <v>10</v>
      </c>
      <c r="N143" s="339">
        <v>5</v>
      </c>
      <c r="O143" s="401" t="s">
        <v>6</v>
      </c>
      <c r="P143" s="340" t="s">
        <v>270</v>
      </c>
      <c r="Q143" s="340"/>
      <c r="R143" s="339">
        <v>2003</v>
      </c>
      <c r="T143" s="339">
        <v>3</v>
      </c>
      <c r="U143" s="340" t="s">
        <v>265</v>
      </c>
      <c r="V143" s="339">
        <v>1</v>
      </c>
      <c r="X143" s="339">
        <v>20</v>
      </c>
      <c r="Y143" s="390">
        <v>18520</v>
      </c>
      <c r="Z143" s="390">
        <v>19050</v>
      </c>
      <c r="AA143" s="390">
        <v>19050</v>
      </c>
      <c r="AB143" s="390">
        <v>19050</v>
      </c>
      <c r="AC143" s="390">
        <v>19050</v>
      </c>
      <c r="AD143" s="359"/>
      <c r="AE143" s="391"/>
      <c r="AF143" s="391"/>
      <c r="AG143" s="391"/>
      <c r="AH143" s="359"/>
      <c r="AK143" s="340"/>
      <c r="AL143" s="340"/>
      <c r="AM143" s="340"/>
      <c r="AN143" s="340"/>
      <c r="AO143" s="340"/>
      <c r="AP143" s="340"/>
      <c r="AQ143" s="340"/>
      <c r="AR143" s="340"/>
      <c r="AS143" s="340"/>
    </row>
    <row r="144" spans="12:45" s="339" customFormat="1" ht="15" hidden="1">
      <c r="L144" s="339">
        <v>20</v>
      </c>
      <c r="M144" s="339">
        <v>11</v>
      </c>
      <c r="O144" s="353">
        <v>2</v>
      </c>
      <c r="P144" s="353">
        <v>3</v>
      </c>
      <c r="Q144" s="353">
        <v>1</v>
      </c>
      <c r="R144" s="339">
        <v>2004</v>
      </c>
      <c r="T144" s="339">
        <v>4</v>
      </c>
      <c r="U144" s="340" t="s">
        <v>266</v>
      </c>
      <c r="V144" s="339">
        <v>2</v>
      </c>
      <c r="X144" s="339">
        <v>21</v>
      </c>
      <c r="Y144" s="390">
        <v>19050</v>
      </c>
      <c r="Z144" s="390">
        <v>19580</v>
      </c>
      <c r="AA144" s="390">
        <v>19580</v>
      </c>
      <c r="AB144" s="390">
        <v>19580</v>
      </c>
      <c r="AC144" s="390">
        <v>19580</v>
      </c>
      <c r="AD144" s="359"/>
      <c r="AE144" s="391"/>
      <c r="AF144" s="391"/>
      <c r="AG144" s="391"/>
      <c r="AH144" s="359"/>
      <c r="AK144" s="340" t="str">
        <f>IF(AK146=0," ",IF(AK146=1,"One Lakh",CONCATENATE(AK145," ",AK147)))</f>
        <v> </v>
      </c>
      <c r="AL144" s="340" t="str">
        <f>IF(AL146=0," ",IF(AL146=1,"One Thousand",CONCATENATE(AL145," ",AL147)))</f>
        <v> </v>
      </c>
      <c r="AM144" s="340" t="str">
        <f>IF(AM146=0," ",IF(AM146=1,"One Hundred",CONCATENATE(AM145," ",AM147)))</f>
        <v>Nine Hundred</v>
      </c>
      <c r="AN144" s="340" t="str">
        <f>IF(AN146=0," ",IF(AND(AK146=0,AL146=0,AM146=0),AN145,CONCATENATE("and"," ",AN145)))</f>
        <v>and Fifty Five</v>
      </c>
      <c r="AO144" s="340"/>
      <c r="AP144" s="340"/>
      <c r="AQ144" s="340"/>
      <c r="AR144" s="340"/>
      <c r="AS144" s="340"/>
    </row>
    <row r="145" spans="12:45" s="339" customFormat="1" ht="15" hidden="1">
      <c r="L145" s="339">
        <v>21</v>
      </c>
      <c r="M145" s="339">
        <v>12</v>
      </c>
      <c r="O145" s="339" t="str">
        <f>D14</f>
        <v>Mandal Development  Officer</v>
      </c>
      <c r="P145" s="340" t="str">
        <f>D18</f>
        <v>Mandal Parishad</v>
      </c>
      <c r="Q145" s="340" t="str">
        <f>VLOOKUP(Q144,N139:P143,2,FALSE)</f>
        <v>………………</v>
      </c>
      <c r="R145" s="339">
        <v>2005</v>
      </c>
      <c r="T145" s="339">
        <v>5</v>
      </c>
      <c r="U145" s="340" t="s">
        <v>267</v>
      </c>
      <c r="V145" s="339">
        <v>2</v>
      </c>
      <c r="X145" s="339">
        <v>22</v>
      </c>
      <c r="Y145" s="390">
        <v>19580</v>
      </c>
      <c r="Z145" s="390">
        <v>20110</v>
      </c>
      <c r="AA145" s="390">
        <v>20110</v>
      </c>
      <c r="AB145" s="390">
        <v>20110</v>
      </c>
      <c r="AC145" s="390">
        <v>20110</v>
      </c>
      <c r="AD145" s="359"/>
      <c r="AE145" s="391"/>
      <c r="AF145" s="391"/>
      <c r="AG145" s="391"/>
      <c r="AH145" s="359"/>
      <c r="AK145" s="340" t="e">
        <f>HLOOKUP(AK146,AO132:EI133,2,TRUE)</f>
        <v>#N/A</v>
      </c>
      <c r="AL145" s="340" t="e">
        <f>HLOOKUP(AL146,AO132:EI133,2,TRUE)</f>
        <v>#N/A</v>
      </c>
      <c r="AM145" s="340" t="str">
        <f>HLOOKUP(AM146,AO132:EI133,2,TRUE)</f>
        <v>Nine</v>
      </c>
      <c r="AN145" s="340" t="str">
        <f>HLOOKUP(AN146,AO132:EI133,2,TRUE)</f>
        <v>Fifty Five</v>
      </c>
      <c r="AO145" s="340"/>
      <c r="AP145" s="340"/>
      <c r="AQ145" s="340"/>
      <c r="AR145" s="340"/>
      <c r="AS145" s="340"/>
    </row>
    <row r="146" spans="12:45" s="339" customFormat="1" ht="15" hidden="1">
      <c r="L146" s="339">
        <v>22</v>
      </c>
      <c r="M146" s="339">
        <v>13</v>
      </c>
      <c r="N146" s="339">
        <v>1</v>
      </c>
      <c r="O146" s="340" t="s">
        <v>51</v>
      </c>
      <c r="R146" s="339">
        <v>2006</v>
      </c>
      <c r="T146" s="339">
        <v>6</v>
      </c>
      <c r="U146" s="340" t="s">
        <v>268</v>
      </c>
      <c r="V146" s="339">
        <v>3</v>
      </c>
      <c r="X146" s="339">
        <v>23</v>
      </c>
      <c r="Y146" s="390">
        <v>20110</v>
      </c>
      <c r="Z146" s="390">
        <v>20680</v>
      </c>
      <c r="AA146" s="390">
        <v>20680</v>
      </c>
      <c r="AB146" s="390">
        <v>20680</v>
      </c>
      <c r="AC146" s="390">
        <v>20680</v>
      </c>
      <c r="AD146" s="359"/>
      <c r="AE146" s="391"/>
      <c r="AF146" s="391"/>
      <c r="AG146" s="391"/>
      <c r="AH146" s="359"/>
      <c r="AK146" s="340">
        <f>INT(AK148/100000)</f>
        <v>0</v>
      </c>
      <c r="AL146" s="340">
        <f>INT(AK148/1000)-(AK146*100)</f>
        <v>0</v>
      </c>
      <c r="AM146" s="340">
        <f>INT(AK148/100)-(AK146*1000)-(AL146*10)</f>
        <v>9</v>
      </c>
      <c r="AN146" s="340">
        <f>AK148-(AK146*100000)-(AL146*1000)-(AM146*100)</f>
        <v>55</v>
      </c>
      <c r="AO146" s="340"/>
      <c r="AP146" s="340"/>
      <c r="AQ146" s="340"/>
      <c r="AR146" s="340"/>
      <c r="AS146" s="340"/>
    </row>
    <row r="147" spans="12:45" s="339" customFormat="1" ht="15" hidden="1">
      <c r="L147" s="339">
        <v>23</v>
      </c>
      <c r="M147" s="339">
        <v>14</v>
      </c>
      <c r="N147" s="339">
        <v>2</v>
      </c>
      <c r="O147" s="340" t="s">
        <v>48</v>
      </c>
      <c r="R147" s="339">
        <v>2007</v>
      </c>
      <c r="T147" s="339">
        <v>7</v>
      </c>
      <c r="U147" s="340" t="s">
        <v>269</v>
      </c>
      <c r="V147" s="339">
        <v>3</v>
      </c>
      <c r="X147" s="339">
        <v>24</v>
      </c>
      <c r="Y147" s="390">
        <v>20680</v>
      </c>
      <c r="Z147" s="390">
        <v>21250</v>
      </c>
      <c r="AA147" s="390">
        <v>21250</v>
      </c>
      <c r="AB147" s="390">
        <v>21250</v>
      </c>
      <c r="AC147" s="390">
        <v>21250</v>
      </c>
      <c r="AD147" s="359"/>
      <c r="AE147" s="391"/>
      <c r="AF147" s="391"/>
      <c r="AG147" s="391"/>
      <c r="AH147" s="359"/>
      <c r="AK147" s="340" t="s">
        <v>372</v>
      </c>
      <c r="AL147" s="340" t="s">
        <v>373</v>
      </c>
      <c r="AM147" s="340" t="s">
        <v>374</v>
      </c>
      <c r="AN147" s="340"/>
      <c r="AO147" s="340"/>
      <c r="AP147" s="340"/>
      <c r="AQ147" s="340"/>
      <c r="AR147" s="340"/>
      <c r="AS147" s="340"/>
    </row>
    <row r="148" spans="12:45" s="339" customFormat="1" ht="15" hidden="1">
      <c r="L148" s="339">
        <v>24</v>
      </c>
      <c r="M148" s="339">
        <v>15</v>
      </c>
      <c r="N148" s="339">
        <v>3</v>
      </c>
      <c r="O148" s="340" t="s">
        <v>49</v>
      </c>
      <c r="R148" s="339">
        <v>2008</v>
      </c>
      <c r="T148" s="339">
        <v>8</v>
      </c>
      <c r="U148" s="340" t="s">
        <v>270</v>
      </c>
      <c r="V148" s="339">
        <v>4</v>
      </c>
      <c r="X148" s="339">
        <v>25</v>
      </c>
      <c r="Y148" s="390">
        <v>21250</v>
      </c>
      <c r="Z148" s="390">
        <v>21820</v>
      </c>
      <c r="AA148" s="390">
        <v>21820</v>
      </c>
      <c r="AB148" s="390">
        <v>21820</v>
      </c>
      <c r="AC148" s="390">
        <v>21820</v>
      </c>
      <c r="AD148" s="359"/>
      <c r="AE148" s="391"/>
      <c r="AF148" s="391"/>
      <c r="AG148" s="391"/>
      <c r="AH148" s="359"/>
      <c r="AK148" s="340">
        <f>AK142+1</f>
        <v>955</v>
      </c>
      <c r="AL148" s="340" t="str">
        <f>IF(AK148=0,"Zero",CONCATENATE(AK144," ",AL144," ",AM144," ",AN144," rupees only "))</f>
        <v>    Nine Hundred and Fifty Five rupees only </v>
      </c>
      <c r="AM148" s="340"/>
      <c r="AN148" s="340"/>
      <c r="AO148" s="340"/>
      <c r="AP148" s="340"/>
      <c r="AQ148" s="340"/>
      <c r="AR148" s="340"/>
      <c r="AS148" s="340"/>
    </row>
    <row r="149" spans="12:34" s="339" customFormat="1" ht="15.75" hidden="1" thickBot="1">
      <c r="L149" s="339">
        <v>25</v>
      </c>
      <c r="M149" s="339">
        <v>16</v>
      </c>
      <c r="O149" s="353">
        <v>2</v>
      </c>
      <c r="P149" s="339" t="str">
        <f>VLOOKUP(O149,N146:O148,2,FALSE)</f>
        <v>Yes</v>
      </c>
      <c r="R149" s="339">
        <v>2009</v>
      </c>
      <c r="T149" s="339" t="str">
        <f>D7</f>
        <v>Mandal Parishad</v>
      </c>
      <c r="U149" s="340"/>
      <c r="X149" s="339">
        <v>26</v>
      </c>
      <c r="Y149" s="390">
        <v>21820</v>
      </c>
      <c r="Z149" s="390">
        <v>22430</v>
      </c>
      <c r="AA149" s="390">
        <v>22430</v>
      </c>
      <c r="AB149" s="390">
        <v>22430</v>
      </c>
      <c r="AC149" s="390">
        <v>22430</v>
      </c>
      <c r="AD149" s="359"/>
      <c r="AE149" s="391"/>
      <c r="AF149" s="391"/>
      <c r="AG149" s="391"/>
      <c r="AH149" s="359"/>
    </row>
    <row r="150" spans="12:42" s="339" customFormat="1" ht="15" hidden="1">
      <c r="L150" s="339">
        <v>26</v>
      </c>
      <c r="M150" s="339">
        <v>17</v>
      </c>
      <c r="O150" s="436">
        <v>3</v>
      </c>
      <c r="P150" s="437">
        <v>2</v>
      </c>
      <c r="R150" s="339">
        <v>2010</v>
      </c>
      <c r="T150" s="353">
        <v>4</v>
      </c>
      <c r="U150" s="339">
        <v>2</v>
      </c>
      <c r="X150" s="339">
        <v>27</v>
      </c>
      <c r="Y150" s="390">
        <v>22430</v>
      </c>
      <c r="Z150" s="390">
        <v>23040</v>
      </c>
      <c r="AA150" s="390">
        <v>23040</v>
      </c>
      <c r="AB150" s="390">
        <v>23040</v>
      </c>
      <c r="AC150" s="390">
        <v>23040</v>
      </c>
      <c r="AD150" s="359"/>
      <c r="AE150" s="391"/>
      <c r="AF150" s="391"/>
      <c r="AG150" s="391"/>
      <c r="AH150" s="359"/>
      <c r="AK150" s="340" t="str">
        <f>IF(AK152=0," ",IF(AK152=1,"One Lakh",CONCATENATE(AK151," ",AK153)))</f>
        <v> </v>
      </c>
      <c r="AL150" s="340" t="str">
        <f>IF(AL152=0," ",IF(AL152=1,"One Thousand",CONCATENATE(AL151," ",AL153)))</f>
        <v> </v>
      </c>
      <c r="AM150" s="340" t="str">
        <f>IF(AM152=0," ",IF(AM152=1,"One Hundred",CONCATENATE(AM151," ",AM153)))</f>
        <v> </v>
      </c>
      <c r="AN150" s="396" t="str">
        <f>IF(AN152=0," ",IF(AND(AK152=0,AL152=0,AM152=0),AN151,CONCATENATE("and"," ",AN151)))</f>
        <v> </v>
      </c>
      <c r="AO150" s="340"/>
      <c r="AP150" s="340"/>
    </row>
    <row r="151" spans="12:42" s="339" customFormat="1" ht="15.75" hidden="1" thickBot="1">
      <c r="L151" s="339">
        <v>27</v>
      </c>
      <c r="M151" s="339">
        <v>18</v>
      </c>
      <c r="N151" s="339" t="s">
        <v>460</v>
      </c>
      <c r="O151" s="438" t="str">
        <f>VLOOKUP(O150,N154:O162,2,FALSE)</f>
        <v>B.Sc</v>
      </c>
      <c r="P151" s="439" t="str">
        <f>VLOOKUP(P150,N154:P161,3,FALSE)</f>
        <v>B.Ed</v>
      </c>
      <c r="R151" s="339">
        <v>2011</v>
      </c>
      <c r="X151" s="339">
        <v>28</v>
      </c>
      <c r="Y151" s="390">
        <v>23040</v>
      </c>
      <c r="Z151" s="390">
        <v>23650</v>
      </c>
      <c r="AA151" s="390">
        <v>23650</v>
      </c>
      <c r="AB151" s="390">
        <v>23650</v>
      </c>
      <c r="AC151" s="390">
        <v>23650</v>
      </c>
      <c r="AD151" s="359"/>
      <c r="AE151" s="391"/>
      <c r="AF151" s="391"/>
      <c r="AG151" s="391"/>
      <c r="AH151" s="359"/>
      <c r="AK151" s="340" t="e">
        <f>HLOOKUP(AK152,AO132:EI133,2,FALSE)</f>
        <v>#N/A</v>
      </c>
      <c r="AL151" s="340" t="e">
        <f>HLOOKUP(AL152,AO132:EI133,2,FALSE)</f>
        <v>#N/A</v>
      </c>
      <c r="AM151" s="340" t="e">
        <f>HLOOKUP(AM152,AO132:EI133,2,TRUE)</f>
        <v>#N/A</v>
      </c>
      <c r="AN151" s="340" t="e">
        <f>HLOOKUP(AN152,AO132:EI133,2,TRUE)</f>
        <v>#N/A</v>
      </c>
      <c r="AO151" s="340"/>
      <c r="AP151" s="340"/>
    </row>
    <row r="152" spans="12:42" s="339" customFormat="1" ht="15" hidden="1">
      <c r="L152" s="339">
        <v>28</v>
      </c>
      <c r="M152" s="339">
        <v>19</v>
      </c>
      <c r="N152" s="339" t="s">
        <v>459</v>
      </c>
      <c r="O152" s="440" t="str">
        <f>I18</f>
        <v>B.Sc. </v>
      </c>
      <c r="P152" s="441" t="str">
        <f>J18</f>
        <v>B.Ed.</v>
      </c>
      <c r="Q152" s="339">
        <v>1</v>
      </c>
      <c r="R152" s="339">
        <v>2012</v>
      </c>
      <c r="X152" s="339">
        <v>29</v>
      </c>
      <c r="Y152" s="390">
        <v>23650</v>
      </c>
      <c r="Z152" s="390">
        <v>24300</v>
      </c>
      <c r="AA152" s="390">
        <v>24300</v>
      </c>
      <c r="AB152" s="390">
        <v>24300</v>
      </c>
      <c r="AC152" s="390">
        <v>24300</v>
      </c>
      <c r="AD152" s="359"/>
      <c r="AE152" s="391"/>
      <c r="AF152" s="391"/>
      <c r="AG152" s="391"/>
      <c r="AH152" s="359"/>
      <c r="AK152" s="340">
        <f>INT(AK154/100000)</f>
        <v>0</v>
      </c>
      <c r="AL152" s="340">
        <f>INT(AK154/1000)-(AK152*100)</f>
        <v>0</v>
      </c>
      <c r="AM152" s="340">
        <f>INT(AK154/100)-(AK152*1000)-(AL152*10)</f>
        <v>0</v>
      </c>
      <c r="AN152" s="340">
        <f>AK154-(AK152*100000)-(AL152*1000)-(AM152*100)</f>
        <v>0</v>
      </c>
      <c r="AO152" s="340"/>
      <c r="AP152" s="340"/>
    </row>
    <row r="153" spans="13:42" s="339" customFormat="1" ht="15.75" hidden="1" thickBot="1">
      <c r="M153" s="339">
        <v>20</v>
      </c>
      <c r="O153" s="442">
        <v>6</v>
      </c>
      <c r="P153" s="443">
        <v>2</v>
      </c>
      <c r="Q153" s="339">
        <v>2</v>
      </c>
      <c r="R153" s="339">
        <v>2013</v>
      </c>
      <c r="X153" s="339">
        <v>30</v>
      </c>
      <c r="Y153" s="390">
        <v>24300</v>
      </c>
      <c r="Z153" s="390">
        <v>24950</v>
      </c>
      <c r="AA153" s="390">
        <v>24950</v>
      </c>
      <c r="AB153" s="390">
        <v>24950</v>
      </c>
      <c r="AC153" s="390">
        <v>24950</v>
      </c>
      <c r="AD153" s="359"/>
      <c r="AE153" s="391"/>
      <c r="AF153" s="391"/>
      <c r="AG153" s="391"/>
      <c r="AH153" s="359"/>
      <c r="AK153" s="340" t="s">
        <v>372</v>
      </c>
      <c r="AL153" s="340" t="s">
        <v>373</v>
      </c>
      <c r="AM153" s="340" t="s">
        <v>374</v>
      </c>
      <c r="AN153" s="340"/>
      <c r="AO153" s="340"/>
      <c r="AP153" s="340"/>
    </row>
    <row r="154" spans="13:42" s="339" customFormat="1" ht="15" hidden="1">
      <c r="M154" s="339">
        <v>21</v>
      </c>
      <c r="N154" s="339">
        <v>1</v>
      </c>
      <c r="O154" s="340" t="s">
        <v>54</v>
      </c>
      <c r="P154" s="340" t="s">
        <v>62</v>
      </c>
      <c r="Q154" s="339">
        <v>3</v>
      </c>
      <c r="R154" s="339">
        <v>2014</v>
      </c>
      <c r="X154" s="339">
        <v>31</v>
      </c>
      <c r="Y154" s="390">
        <v>24950</v>
      </c>
      <c r="Z154" s="390">
        <v>25600</v>
      </c>
      <c r="AA154" s="390">
        <v>25600</v>
      </c>
      <c r="AB154" s="390">
        <v>25600</v>
      </c>
      <c r="AC154" s="390">
        <v>25600</v>
      </c>
      <c r="AD154" s="359"/>
      <c r="AE154" s="391"/>
      <c r="AF154" s="391"/>
      <c r="AG154" s="391"/>
      <c r="AH154" s="359"/>
      <c r="AK154" s="340">
        <f>Bill!W12</f>
        <v>0</v>
      </c>
      <c r="AL154" s="340" t="str">
        <f>IF(AK154=0,"Zero",CONCATENATE(AK150," ",AL150," ",AM150," ",AN150,"rupees  only"))</f>
        <v>Zero</v>
      </c>
      <c r="AM154" s="340"/>
      <c r="AN154" s="340"/>
      <c r="AO154" s="340"/>
      <c r="AP154" s="340"/>
    </row>
    <row r="155" spans="13:34" s="339" customFormat="1" ht="15" hidden="1">
      <c r="M155" s="339">
        <v>22</v>
      </c>
      <c r="N155" s="339">
        <v>2</v>
      </c>
      <c r="O155" s="340" t="s">
        <v>53</v>
      </c>
      <c r="P155" s="340" t="s">
        <v>63</v>
      </c>
      <c r="Q155" s="359">
        <v>4</v>
      </c>
      <c r="R155" s="339">
        <v>2015</v>
      </c>
      <c r="X155" s="339">
        <v>32</v>
      </c>
      <c r="Y155" s="390">
        <v>25600</v>
      </c>
      <c r="Z155" s="390">
        <v>26300</v>
      </c>
      <c r="AA155" s="390">
        <v>26300</v>
      </c>
      <c r="AB155" s="390">
        <v>26300</v>
      </c>
      <c r="AC155" s="390">
        <v>26300</v>
      </c>
      <c r="AD155" s="359"/>
      <c r="AE155" s="391"/>
      <c r="AF155" s="391"/>
      <c r="AG155" s="391"/>
      <c r="AH155" s="359"/>
    </row>
    <row r="156" spans="14:34" s="339" customFormat="1" ht="15" hidden="1">
      <c r="N156" s="339">
        <v>3</v>
      </c>
      <c r="O156" s="340" t="s">
        <v>55</v>
      </c>
      <c r="P156" s="340" t="s">
        <v>64</v>
      </c>
      <c r="Q156" s="339">
        <v>5</v>
      </c>
      <c r="R156" s="339">
        <v>2016</v>
      </c>
      <c r="X156" s="339">
        <v>33</v>
      </c>
      <c r="Y156" s="390">
        <v>26300</v>
      </c>
      <c r="Z156" s="390">
        <v>27000</v>
      </c>
      <c r="AA156" s="390">
        <v>27000</v>
      </c>
      <c r="AB156" s="390">
        <v>27000</v>
      </c>
      <c r="AC156" s="390">
        <v>27000</v>
      </c>
      <c r="AD156" s="359"/>
      <c r="AE156" s="391"/>
      <c r="AF156" s="391"/>
      <c r="AG156" s="391"/>
      <c r="AH156" s="359"/>
    </row>
    <row r="157" spans="14:34" s="339" customFormat="1" ht="15" hidden="1">
      <c r="N157" s="339">
        <v>4</v>
      </c>
      <c r="O157" s="340" t="s">
        <v>56</v>
      </c>
      <c r="P157" s="340" t="s">
        <v>65</v>
      </c>
      <c r="Q157" s="339">
        <v>6</v>
      </c>
      <c r="R157" s="339">
        <v>2017</v>
      </c>
      <c r="X157" s="339">
        <v>34</v>
      </c>
      <c r="Y157" s="390">
        <v>27000</v>
      </c>
      <c r="Z157" s="390">
        <v>27700</v>
      </c>
      <c r="AA157" s="390">
        <v>27700</v>
      </c>
      <c r="AB157" s="390">
        <v>27700</v>
      </c>
      <c r="AC157" s="390">
        <v>27700</v>
      </c>
      <c r="AD157" s="359"/>
      <c r="AE157" s="391"/>
      <c r="AF157" s="391"/>
      <c r="AG157" s="391"/>
      <c r="AH157" s="359"/>
    </row>
    <row r="158" spans="14:34" s="339" customFormat="1" ht="15" hidden="1">
      <c r="N158" s="339">
        <v>5</v>
      </c>
      <c r="O158" s="340" t="s">
        <v>57</v>
      </c>
      <c r="P158" s="340" t="s">
        <v>66</v>
      </c>
      <c r="X158" s="339">
        <v>35</v>
      </c>
      <c r="Y158" s="390">
        <v>27700</v>
      </c>
      <c r="Z158" s="390">
        <v>28450</v>
      </c>
      <c r="AA158" s="390">
        <v>28450</v>
      </c>
      <c r="AB158" s="390">
        <v>28450</v>
      </c>
      <c r="AC158" s="390">
        <v>28450</v>
      </c>
      <c r="AD158" s="359"/>
      <c r="AE158" s="391"/>
      <c r="AF158" s="391"/>
      <c r="AG158" s="391"/>
      <c r="AH158" s="359"/>
    </row>
    <row r="159" spans="14:34" s="339" customFormat="1" ht="15" hidden="1">
      <c r="N159" s="339">
        <v>6</v>
      </c>
      <c r="O159" s="340" t="s">
        <v>58</v>
      </c>
      <c r="P159" s="340" t="s">
        <v>67</v>
      </c>
      <c r="X159" s="339">
        <v>36</v>
      </c>
      <c r="Y159" s="390">
        <v>28450</v>
      </c>
      <c r="Z159" s="390">
        <v>29200</v>
      </c>
      <c r="AA159" s="390">
        <v>29200</v>
      </c>
      <c r="AB159" s="390">
        <v>29200</v>
      </c>
      <c r="AC159" s="390">
        <v>29200</v>
      </c>
      <c r="AD159" s="359"/>
      <c r="AE159" s="391"/>
      <c r="AF159" s="391"/>
      <c r="AG159" s="391"/>
      <c r="AH159" s="359"/>
    </row>
    <row r="160" spans="14:34" s="339" customFormat="1" ht="15" hidden="1">
      <c r="N160" s="339">
        <v>7</v>
      </c>
      <c r="O160" s="340" t="s">
        <v>59</v>
      </c>
      <c r="P160" s="340" t="s">
        <v>68</v>
      </c>
      <c r="X160" s="339">
        <v>37</v>
      </c>
      <c r="Y160" s="390">
        <v>29200</v>
      </c>
      <c r="Z160" s="390">
        <v>29950</v>
      </c>
      <c r="AA160" s="390">
        <v>29950</v>
      </c>
      <c r="AB160" s="390">
        <v>29950</v>
      </c>
      <c r="AC160" s="390">
        <v>29950</v>
      </c>
      <c r="AD160" s="359"/>
      <c r="AE160" s="391"/>
      <c r="AF160" s="391"/>
      <c r="AG160" s="391"/>
      <c r="AH160" s="359"/>
    </row>
    <row r="161" spans="14:34" s="339" customFormat="1" ht="15" hidden="1">
      <c r="N161" s="339">
        <v>8</v>
      </c>
      <c r="O161" s="340" t="s">
        <v>60</v>
      </c>
      <c r="P161" s="340" t="s">
        <v>69</v>
      </c>
      <c r="X161" s="339">
        <v>38</v>
      </c>
      <c r="Y161" s="390">
        <v>29950</v>
      </c>
      <c r="Z161" s="390">
        <v>30750</v>
      </c>
      <c r="AA161" s="390">
        <v>30750</v>
      </c>
      <c r="AB161" s="390">
        <v>30750</v>
      </c>
      <c r="AC161" s="390">
        <v>30750</v>
      </c>
      <c r="AD161" s="359"/>
      <c r="AE161" s="391"/>
      <c r="AF161" s="391"/>
      <c r="AG161" s="391"/>
      <c r="AH161" s="359"/>
    </row>
    <row r="162" spans="14:34" s="339" customFormat="1" ht="15" hidden="1">
      <c r="N162" s="339">
        <v>9</v>
      </c>
      <c r="O162" s="340" t="s">
        <v>61</v>
      </c>
      <c r="P162" s="340"/>
      <c r="R162" s="339">
        <f>U150</f>
        <v>2</v>
      </c>
      <c r="X162" s="339">
        <v>39</v>
      </c>
      <c r="Y162" s="390">
        <v>30750</v>
      </c>
      <c r="Z162" s="390">
        <v>31550</v>
      </c>
      <c r="AA162" s="390">
        <v>31550</v>
      </c>
      <c r="AB162" s="390">
        <v>31550</v>
      </c>
      <c r="AC162" s="390">
        <v>31550</v>
      </c>
      <c r="AD162" s="359"/>
      <c r="AE162" s="391"/>
      <c r="AF162" s="391"/>
      <c r="AG162" s="391"/>
      <c r="AH162" s="359"/>
    </row>
    <row r="163" spans="15:34" s="339" customFormat="1" ht="15" hidden="1">
      <c r="O163" s="397">
        <v>1</v>
      </c>
      <c r="P163" s="397" t="s">
        <v>379</v>
      </c>
      <c r="Q163" s="397">
        <v>0</v>
      </c>
      <c r="R163" s="397">
        <v>3</v>
      </c>
      <c r="S163" s="397" t="s">
        <v>206</v>
      </c>
      <c r="T163" s="397">
        <v>5</v>
      </c>
      <c r="U163" s="397">
        <v>1</v>
      </c>
      <c r="V163" s="397" t="s">
        <v>380</v>
      </c>
      <c r="W163" s="340"/>
      <c r="X163" s="339">
        <v>40</v>
      </c>
      <c r="Y163" s="390">
        <v>31550</v>
      </c>
      <c r="Z163" s="390">
        <v>32350</v>
      </c>
      <c r="AA163" s="390">
        <v>32350</v>
      </c>
      <c r="AB163" s="390">
        <v>32350</v>
      </c>
      <c r="AC163" s="390">
        <v>32350</v>
      </c>
      <c r="AD163" s="359"/>
      <c r="AE163" s="391"/>
      <c r="AF163" s="391"/>
      <c r="AG163" s="391"/>
      <c r="AH163" s="359"/>
    </row>
    <row r="164" spans="15:34" s="339" customFormat="1" ht="15" hidden="1">
      <c r="O164" s="397">
        <v>2</v>
      </c>
      <c r="P164" s="397" t="s">
        <v>381</v>
      </c>
      <c r="Q164" s="397">
        <v>9</v>
      </c>
      <c r="R164" s="397">
        <v>1</v>
      </c>
      <c r="S164" s="397" t="s">
        <v>382</v>
      </c>
      <c r="T164" s="397">
        <v>5</v>
      </c>
      <c r="U164" s="397">
        <v>2</v>
      </c>
      <c r="V164" s="397" t="s">
        <v>375</v>
      </c>
      <c r="W164" s="340"/>
      <c r="X164" s="339">
        <v>41</v>
      </c>
      <c r="Y164" s="390">
        <v>32350</v>
      </c>
      <c r="Z164" s="390">
        <v>33200</v>
      </c>
      <c r="AA164" s="390">
        <v>33200</v>
      </c>
      <c r="AB164" s="390">
        <v>33200</v>
      </c>
      <c r="AC164" s="390">
        <v>33200</v>
      </c>
      <c r="AD164" s="359"/>
      <c r="AE164" s="391"/>
      <c r="AF164" s="391"/>
      <c r="AG164" s="391"/>
      <c r="AH164" s="359"/>
    </row>
    <row r="165" spans="15:34" s="339" customFormat="1" ht="15" hidden="1">
      <c r="O165" s="397">
        <v>3</v>
      </c>
      <c r="P165" s="397" t="s">
        <v>383</v>
      </c>
      <c r="Q165" s="397">
        <v>0</v>
      </c>
      <c r="R165" s="397">
        <v>1</v>
      </c>
      <c r="S165" s="397" t="s">
        <v>389</v>
      </c>
      <c r="T165" s="397">
        <v>4</v>
      </c>
      <c r="U165" s="397">
        <v>1</v>
      </c>
      <c r="V165" s="397" t="s">
        <v>380</v>
      </c>
      <c r="W165" s="340"/>
      <c r="X165" s="339">
        <v>42</v>
      </c>
      <c r="Y165" s="390">
        <v>33200</v>
      </c>
      <c r="Z165" s="390">
        <v>34050</v>
      </c>
      <c r="AA165" s="390">
        <v>34050</v>
      </c>
      <c r="AB165" s="390">
        <v>34050</v>
      </c>
      <c r="AC165" s="390">
        <v>34050</v>
      </c>
      <c r="AD165" s="359"/>
      <c r="AE165" s="391"/>
      <c r="AF165" s="391"/>
      <c r="AG165" s="391"/>
      <c r="AH165" s="359"/>
    </row>
    <row r="166" spans="15:34" s="339" customFormat="1" ht="15" hidden="1">
      <c r="O166" s="397">
        <v>4</v>
      </c>
      <c r="P166" s="397" t="s">
        <v>384</v>
      </c>
      <c r="Q166" s="397">
        <v>0</v>
      </c>
      <c r="R166" s="397">
        <v>9</v>
      </c>
      <c r="S166" s="397" t="s">
        <v>390</v>
      </c>
      <c r="T166" s="397">
        <v>4</v>
      </c>
      <c r="U166" s="397">
        <v>2</v>
      </c>
      <c r="V166" s="397" t="s">
        <v>375</v>
      </c>
      <c r="W166" s="340"/>
      <c r="X166" s="339">
        <v>43</v>
      </c>
      <c r="Y166" s="390">
        <v>34050</v>
      </c>
      <c r="Z166" s="390">
        <v>34900</v>
      </c>
      <c r="AA166" s="390">
        <v>34900</v>
      </c>
      <c r="AB166" s="390">
        <v>34900</v>
      </c>
      <c r="AC166" s="390">
        <v>34900</v>
      </c>
      <c r="AD166" s="359"/>
      <c r="AE166" s="391"/>
      <c r="AF166" s="391"/>
      <c r="AG166" s="391"/>
      <c r="AH166" s="359"/>
    </row>
    <row r="167" spans="15:34" s="339" customFormat="1" ht="15" hidden="1">
      <c r="O167" s="398">
        <v>5</v>
      </c>
      <c r="P167" s="398" t="s">
        <v>498</v>
      </c>
      <c r="Q167" s="398" t="s">
        <v>504</v>
      </c>
      <c r="R167" s="398" t="s">
        <v>504</v>
      </c>
      <c r="S167" s="398" t="s">
        <v>496</v>
      </c>
      <c r="T167" s="398" t="s">
        <v>504</v>
      </c>
      <c r="U167" s="398" t="s">
        <v>504</v>
      </c>
      <c r="V167" s="398" t="s">
        <v>497</v>
      </c>
      <c r="X167" s="339">
        <v>44</v>
      </c>
      <c r="Y167" s="390">
        <v>34900</v>
      </c>
      <c r="Z167" s="390">
        <v>35800</v>
      </c>
      <c r="AA167" s="390">
        <v>35800</v>
      </c>
      <c r="AB167" s="390">
        <v>35800</v>
      </c>
      <c r="AC167" s="390">
        <v>35800</v>
      </c>
      <c r="AD167" s="359"/>
      <c r="AE167" s="391"/>
      <c r="AF167" s="391"/>
      <c r="AG167" s="391"/>
      <c r="AH167" s="359"/>
    </row>
    <row r="168" spans="15:34" s="339" customFormat="1" ht="15" hidden="1">
      <c r="O168" s="340" t="s">
        <v>385</v>
      </c>
      <c r="P168" s="339">
        <f>V8</f>
        <v>2</v>
      </c>
      <c r="X168" s="339">
        <v>45</v>
      </c>
      <c r="Y168" s="390">
        <v>35800</v>
      </c>
      <c r="Z168" s="390">
        <v>36700</v>
      </c>
      <c r="AA168" s="390">
        <v>36700</v>
      </c>
      <c r="AB168" s="390">
        <v>36700</v>
      </c>
      <c r="AC168" s="390">
        <v>36700</v>
      </c>
      <c r="AD168" s="359"/>
      <c r="AE168" s="391"/>
      <c r="AF168" s="391"/>
      <c r="AG168" s="391"/>
      <c r="AH168" s="359"/>
    </row>
    <row r="169" spans="15:34" s="339" customFormat="1" ht="15" hidden="1">
      <c r="O169" s="340" t="s">
        <v>386</v>
      </c>
      <c r="P169" s="339" t="str">
        <f>X8</f>
        <v>Secondary Education</v>
      </c>
      <c r="R169" s="339">
        <f>V10</f>
        <v>9</v>
      </c>
      <c r="S169" s="339">
        <f>W10</f>
        <v>1</v>
      </c>
      <c r="X169" s="339">
        <v>46</v>
      </c>
      <c r="Y169" s="390">
        <v>36700</v>
      </c>
      <c r="Z169" s="390">
        <v>37600</v>
      </c>
      <c r="AA169" s="390">
        <v>37600</v>
      </c>
      <c r="AB169" s="390">
        <v>37600</v>
      </c>
      <c r="AC169" s="390">
        <v>37600</v>
      </c>
      <c r="AD169" s="359"/>
      <c r="AE169" s="391"/>
      <c r="AF169" s="391"/>
      <c r="AG169" s="391"/>
      <c r="AH169" s="359"/>
    </row>
    <row r="170" spans="15:34" s="339" customFormat="1" ht="15" hidden="1">
      <c r="O170" s="340" t="s">
        <v>387</v>
      </c>
      <c r="P170" s="339" t="str">
        <f>X10</f>
        <v>Assistance to Local Bodies for Secondary Education</v>
      </c>
      <c r="X170" s="339">
        <v>47</v>
      </c>
      <c r="Y170" s="390">
        <v>37600</v>
      </c>
      <c r="Z170" s="390">
        <v>38570</v>
      </c>
      <c r="AA170" s="390">
        <v>38570</v>
      </c>
      <c r="AB170" s="390">
        <v>38570</v>
      </c>
      <c r="AC170" s="390">
        <v>38570</v>
      </c>
      <c r="AD170" s="359"/>
      <c r="AE170" s="391"/>
      <c r="AF170" s="391"/>
      <c r="AG170" s="391"/>
      <c r="AH170" s="359"/>
    </row>
    <row r="171" spans="15:34" s="339" customFormat="1" ht="15" hidden="1">
      <c r="O171" s="340" t="s">
        <v>388</v>
      </c>
      <c r="P171" s="339" t="str">
        <f>W14</f>
        <v>Teaching Grant to Zilla Praja Parishads</v>
      </c>
      <c r="S171" s="339">
        <f>U14</f>
        <v>0</v>
      </c>
      <c r="T171" s="339">
        <f>V14</f>
        <v>5</v>
      </c>
      <c r="X171" s="339">
        <v>48</v>
      </c>
      <c r="Y171" s="390">
        <v>38570</v>
      </c>
      <c r="Z171" s="390">
        <v>39540</v>
      </c>
      <c r="AA171" s="390">
        <v>39540</v>
      </c>
      <c r="AB171" s="390">
        <v>39540</v>
      </c>
      <c r="AC171" s="390">
        <v>39540</v>
      </c>
      <c r="AD171" s="359"/>
      <c r="AE171" s="391"/>
      <c r="AF171" s="391"/>
      <c r="AG171" s="391"/>
      <c r="AH171" s="359"/>
    </row>
    <row r="172" spans="12:34" s="339" customFormat="1" ht="15" hidden="1">
      <c r="L172" s="339">
        <v>1</v>
      </c>
      <c r="M172" s="444" t="s">
        <v>522</v>
      </c>
      <c r="X172" s="339">
        <v>49</v>
      </c>
      <c r="Y172" s="390">
        <v>39540</v>
      </c>
      <c r="Z172" s="390">
        <v>40510</v>
      </c>
      <c r="AA172" s="390">
        <v>40510</v>
      </c>
      <c r="AB172" s="390">
        <v>40510</v>
      </c>
      <c r="AC172" s="390">
        <v>40510</v>
      </c>
      <c r="AD172" s="359"/>
      <c r="AE172" s="391"/>
      <c r="AF172" s="391"/>
      <c r="AG172" s="391"/>
      <c r="AH172" s="359"/>
    </row>
    <row r="173" spans="12:34" s="339" customFormat="1" ht="15.75" hidden="1" thickBot="1">
      <c r="L173" s="339">
        <v>2</v>
      </c>
      <c r="M173" s="444" t="s">
        <v>523</v>
      </c>
      <c r="X173" s="339">
        <v>50</v>
      </c>
      <c r="Y173" s="390">
        <v>40510</v>
      </c>
      <c r="Z173" s="390">
        <v>41550</v>
      </c>
      <c r="AA173" s="390">
        <v>41550</v>
      </c>
      <c r="AB173" s="390">
        <v>41550</v>
      </c>
      <c r="AC173" s="390">
        <v>41550</v>
      </c>
      <c r="AD173" s="359"/>
      <c r="AE173" s="391"/>
      <c r="AF173" s="391"/>
      <c r="AG173" s="391"/>
      <c r="AH173" s="359"/>
    </row>
    <row r="174" spans="12:34" s="339" customFormat="1" ht="15.75" hidden="1" thickTop="1">
      <c r="L174" s="339">
        <v>3</v>
      </c>
      <c r="M174" s="444" t="s">
        <v>524</v>
      </c>
      <c r="O174" s="397" t="s">
        <v>394</v>
      </c>
      <c r="P174" s="397" t="s">
        <v>47</v>
      </c>
      <c r="Q174" s="399"/>
      <c r="R174" s="399"/>
      <c r="S174" s="399"/>
      <c r="T174" s="400"/>
      <c r="X174" s="339">
        <v>51</v>
      </c>
      <c r="Y174" s="390">
        <v>41550</v>
      </c>
      <c r="Z174" s="390">
        <v>42590</v>
      </c>
      <c r="AA174" s="390">
        <v>42590</v>
      </c>
      <c r="AB174" s="390">
        <v>42590</v>
      </c>
      <c r="AC174" s="390">
        <v>42590</v>
      </c>
      <c r="AD174" s="359"/>
      <c r="AE174" s="391"/>
      <c r="AF174" s="391"/>
      <c r="AG174" s="391"/>
      <c r="AH174" s="359"/>
    </row>
    <row r="175" spans="12:34" s="339" customFormat="1" ht="15" hidden="1">
      <c r="L175" s="339">
        <v>4</v>
      </c>
      <c r="M175" s="444" t="s">
        <v>525</v>
      </c>
      <c r="O175" s="397">
        <f>AN107</f>
        <v>12</v>
      </c>
      <c r="P175" s="397">
        <f>W122</f>
        <v>0</v>
      </c>
      <c r="Q175" s="401"/>
      <c r="R175" s="401"/>
      <c r="S175" s="401"/>
      <c r="T175" s="402"/>
      <c r="X175" s="339">
        <v>52</v>
      </c>
      <c r="Y175" s="390">
        <v>42590</v>
      </c>
      <c r="Z175" s="390">
        <v>43630</v>
      </c>
      <c r="AA175" s="390">
        <v>43630</v>
      </c>
      <c r="AB175" s="390">
        <v>43630</v>
      </c>
      <c r="AC175" s="390">
        <v>43630</v>
      </c>
      <c r="AD175" s="359"/>
      <c r="AE175" s="391"/>
      <c r="AF175" s="391"/>
      <c r="AG175" s="391"/>
      <c r="AH175" s="359"/>
    </row>
    <row r="176" spans="12:34" s="339" customFormat="1" ht="15" hidden="1">
      <c r="L176" s="339">
        <v>5</v>
      </c>
      <c r="M176" s="444" t="s">
        <v>526</v>
      </c>
      <c r="O176" s="445"/>
      <c r="P176" s="401">
        <v>6</v>
      </c>
      <c r="Q176" s="401" t="s">
        <v>30</v>
      </c>
      <c r="R176" s="401"/>
      <c r="S176" s="401"/>
      <c r="T176" s="402"/>
      <c r="X176" s="339">
        <v>53</v>
      </c>
      <c r="Y176" s="390">
        <v>43630</v>
      </c>
      <c r="Z176" s="390">
        <v>44740</v>
      </c>
      <c r="AA176" s="390">
        <v>44740</v>
      </c>
      <c r="AB176" s="390">
        <v>44740</v>
      </c>
      <c r="AC176" s="390">
        <v>44740</v>
      </c>
      <c r="AD176" s="359"/>
      <c r="AE176" s="391"/>
      <c r="AF176" s="391"/>
      <c r="AG176" s="391"/>
      <c r="AH176" s="359"/>
    </row>
    <row r="177" spans="12:34" s="339" customFormat="1" ht="15" hidden="1">
      <c r="L177" s="339">
        <v>6</v>
      </c>
      <c r="M177" s="444" t="s">
        <v>527</v>
      </c>
      <c r="O177" s="445"/>
      <c r="P177" s="401">
        <v>12</v>
      </c>
      <c r="Q177" s="401" t="s">
        <v>31</v>
      </c>
      <c r="R177" s="401"/>
      <c r="S177" s="401"/>
      <c r="T177" s="402"/>
      <c r="X177" s="339">
        <v>54</v>
      </c>
      <c r="Y177" s="390">
        <v>44740</v>
      </c>
      <c r="Z177" s="390">
        <v>45850</v>
      </c>
      <c r="AA177" s="390">
        <v>45850</v>
      </c>
      <c r="AB177" s="390">
        <v>45850</v>
      </c>
      <c r="AC177" s="390">
        <v>45850</v>
      </c>
      <c r="AD177" s="359"/>
      <c r="AE177" s="391"/>
      <c r="AF177" s="391"/>
      <c r="AG177" s="391"/>
      <c r="AH177" s="359"/>
    </row>
    <row r="178" spans="12:34" s="339" customFormat="1" ht="15" hidden="1">
      <c r="L178" s="339">
        <v>7</v>
      </c>
      <c r="M178" s="444" t="s">
        <v>528</v>
      </c>
      <c r="O178" s="445"/>
      <c r="P178" s="401">
        <v>18</v>
      </c>
      <c r="Q178" s="401" t="s">
        <v>45</v>
      </c>
      <c r="R178" s="401"/>
      <c r="S178" s="401"/>
      <c r="T178" s="402"/>
      <c r="X178" s="339">
        <v>55</v>
      </c>
      <c r="Y178" s="390">
        <v>45850</v>
      </c>
      <c r="Z178" s="390">
        <v>46960</v>
      </c>
      <c r="AA178" s="390">
        <v>46960</v>
      </c>
      <c r="AB178" s="390">
        <v>46960</v>
      </c>
      <c r="AC178" s="390">
        <v>46960</v>
      </c>
      <c r="AD178" s="359"/>
      <c r="AE178" s="391"/>
      <c r="AF178" s="391"/>
      <c r="AG178" s="391"/>
      <c r="AH178" s="359"/>
    </row>
    <row r="179" spans="12:34" s="339" customFormat="1" ht="15" hidden="1">
      <c r="L179" s="339">
        <v>8</v>
      </c>
      <c r="M179" s="444" t="s">
        <v>529</v>
      </c>
      <c r="O179" s="445"/>
      <c r="P179" s="401">
        <v>24</v>
      </c>
      <c r="Q179" s="401" t="s">
        <v>32</v>
      </c>
      <c r="R179" s="401"/>
      <c r="S179" s="401"/>
      <c r="T179" s="402"/>
      <c r="X179" s="339">
        <v>56</v>
      </c>
      <c r="Y179" s="390">
        <v>46960</v>
      </c>
      <c r="Z179" s="390">
        <v>48160</v>
      </c>
      <c r="AA179" s="390">
        <v>48160</v>
      </c>
      <c r="AB179" s="390">
        <v>48160</v>
      </c>
      <c r="AC179" s="390">
        <v>48160</v>
      </c>
      <c r="AD179" s="359"/>
      <c r="AE179" s="391"/>
      <c r="AF179" s="391"/>
      <c r="AG179" s="391"/>
      <c r="AH179" s="359"/>
    </row>
    <row r="180" spans="12:34" s="339" customFormat="1" ht="15" hidden="1">
      <c r="L180" s="339">
        <v>9</v>
      </c>
      <c r="M180" s="444" t="s">
        <v>530</v>
      </c>
      <c r="O180" s="445"/>
      <c r="P180" s="401"/>
      <c r="Q180" s="401"/>
      <c r="R180" s="401"/>
      <c r="S180" s="401"/>
      <c r="T180" s="402"/>
      <c r="X180" s="339">
        <v>57</v>
      </c>
      <c r="Y180" s="390">
        <v>48160</v>
      </c>
      <c r="Z180" s="390">
        <v>49360</v>
      </c>
      <c r="AA180" s="390">
        <v>49360</v>
      </c>
      <c r="AB180" s="390">
        <v>49360</v>
      </c>
      <c r="AC180" s="390">
        <v>49360</v>
      </c>
      <c r="AD180" s="359"/>
      <c r="AE180" s="391"/>
      <c r="AF180" s="391"/>
      <c r="AG180" s="391"/>
      <c r="AH180" s="359"/>
    </row>
    <row r="181" spans="12:34" s="339" customFormat="1" ht="15" hidden="1">
      <c r="L181" s="339">
        <v>10</v>
      </c>
      <c r="M181" s="444" t="s">
        <v>531</v>
      </c>
      <c r="O181" s="445" t="s">
        <v>376</v>
      </c>
      <c r="P181" s="401" t="str">
        <f>VLOOKUP(O175,P176:Q179,2,0)</f>
        <v>SPP-IA</v>
      </c>
      <c r="Q181" s="401"/>
      <c r="R181" s="401"/>
      <c r="S181" s="401"/>
      <c r="T181" s="402"/>
      <c r="X181" s="339">
        <v>58</v>
      </c>
      <c r="Y181" s="390">
        <v>49360</v>
      </c>
      <c r="Z181" s="390">
        <v>50560</v>
      </c>
      <c r="AA181" s="390">
        <v>50560</v>
      </c>
      <c r="AB181" s="390">
        <v>50560</v>
      </c>
      <c r="AC181" s="390">
        <v>50560</v>
      </c>
      <c r="AD181" s="359"/>
      <c r="AE181" s="391"/>
      <c r="AF181" s="391"/>
      <c r="AG181" s="391"/>
      <c r="AH181" s="359"/>
    </row>
    <row r="182" spans="12:34" s="339" customFormat="1" ht="15" hidden="1">
      <c r="L182" s="339">
        <v>11</v>
      </c>
      <c r="M182" s="444" t="s">
        <v>34</v>
      </c>
      <c r="O182" s="445"/>
      <c r="P182" s="401"/>
      <c r="Q182" s="401"/>
      <c r="R182" s="401"/>
      <c r="S182" s="401"/>
      <c r="T182" s="402"/>
      <c r="X182" s="339">
        <v>59</v>
      </c>
      <c r="Y182" s="390">
        <v>50560</v>
      </c>
      <c r="Z182" s="390">
        <v>51760</v>
      </c>
      <c r="AA182" s="390">
        <v>51760</v>
      </c>
      <c r="AB182" s="390">
        <v>51760</v>
      </c>
      <c r="AC182" s="390">
        <v>51760</v>
      </c>
      <c r="AD182" s="359"/>
      <c r="AE182" s="391"/>
      <c r="AF182" s="391"/>
      <c r="AG182" s="391"/>
      <c r="AH182" s="359"/>
    </row>
    <row r="183" spans="12:34" s="339" customFormat="1" ht="15" hidden="1">
      <c r="L183" s="339">
        <v>12</v>
      </c>
      <c r="M183" s="446" t="s">
        <v>35</v>
      </c>
      <c r="O183" s="447"/>
      <c r="P183" s="403"/>
      <c r="Q183" s="403" t="s">
        <v>33</v>
      </c>
      <c r="R183" s="403" t="s">
        <v>38</v>
      </c>
      <c r="S183" s="403" t="s">
        <v>393</v>
      </c>
      <c r="T183" s="404"/>
      <c r="X183" s="339">
        <v>60</v>
      </c>
      <c r="Y183" s="390">
        <v>51760</v>
      </c>
      <c r="Z183" s="390">
        <v>53060</v>
      </c>
      <c r="AA183" s="390">
        <v>53060</v>
      </c>
      <c r="AB183" s="390">
        <v>53060</v>
      </c>
      <c r="AC183" s="390">
        <v>53060</v>
      </c>
      <c r="AD183" s="359"/>
      <c r="AE183" s="391"/>
      <c r="AF183" s="391"/>
      <c r="AG183" s="391"/>
      <c r="AH183" s="359"/>
    </row>
    <row r="184" spans="12:34" s="339" customFormat="1" ht="15" hidden="1">
      <c r="L184" s="339">
        <v>13</v>
      </c>
      <c r="M184" s="446" t="s">
        <v>532</v>
      </c>
      <c r="O184" s="447"/>
      <c r="P184" s="403"/>
      <c r="Q184" s="403" t="s">
        <v>34</v>
      </c>
      <c r="R184" s="403" t="s">
        <v>36</v>
      </c>
      <c r="S184" s="403" t="s">
        <v>39</v>
      </c>
      <c r="T184" s="404"/>
      <c r="X184" s="339">
        <v>61</v>
      </c>
      <c r="Y184" s="390">
        <v>53060</v>
      </c>
      <c r="Z184" s="390">
        <v>54360</v>
      </c>
      <c r="AA184" s="390">
        <v>54360</v>
      </c>
      <c r="AB184" s="390">
        <v>54360</v>
      </c>
      <c r="AC184" s="390">
        <v>54360</v>
      </c>
      <c r="AD184" s="359"/>
      <c r="AE184" s="391"/>
      <c r="AF184" s="391"/>
      <c r="AG184" s="391"/>
      <c r="AH184" s="359"/>
    </row>
    <row r="185" spans="12:34" s="339" customFormat="1" ht="15" hidden="1">
      <c r="L185" s="339">
        <v>14</v>
      </c>
      <c r="M185" s="446" t="s">
        <v>533</v>
      </c>
      <c r="O185" s="447"/>
      <c r="P185" s="403" t="s">
        <v>30</v>
      </c>
      <c r="Q185" s="403" t="s">
        <v>35</v>
      </c>
      <c r="R185" s="403" t="s">
        <v>37</v>
      </c>
      <c r="S185" s="403" t="s">
        <v>40</v>
      </c>
      <c r="T185" s="404">
        <v>6</v>
      </c>
      <c r="U185" s="403" t="s">
        <v>499</v>
      </c>
      <c r="X185" s="339">
        <v>62</v>
      </c>
      <c r="Y185" s="390">
        <v>54360</v>
      </c>
      <c r="Z185" s="390">
        <v>55660</v>
      </c>
      <c r="AA185" s="390">
        <v>55660</v>
      </c>
      <c r="AB185" s="390">
        <v>55660</v>
      </c>
      <c r="AC185" s="390">
        <v>55660</v>
      </c>
      <c r="AD185" s="359"/>
      <c r="AE185" s="391"/>
      <c r="AF185" s="391"/>
      <c r="AG185" s="391"/>
      <c r="AH185" s="359"/>
    </row>
    <row r="186" spans="12:34" s="339" customFormat="1" ht="15" hidden="1">
      <c r="L186" s="339">
        <v>15</v>
      </c>
      <c r="M186" s="444" t="s">
        <v>534</v>
      </c>
      <c r="O186" s="447"/>
      <c r="P186" s="403" t="s">
        <v>31</v>
      </c>
      <c r="Q186" s="403" t="s">
        <v>36</v>
      </c>
      <c r="R186" s="403" t="s">
        <v>39</v>
      </c>
      <c r="S186" s="403" t="s">
        <v>40</v>
      </c>
      <c r="T186" s="404">
        <v>12</v>
      </c>
      <c r="U186" s="403" t="s">
        <v>499</v>
      </c>
      <c r="X186" s="339">
        <v>63</v>
      </c>
      <c r="Y186" s="390">
        <v>55660</v>
      </c>
      <c r="Z186" s="390">
        <f aca="true" t="shared" si="32" ref="Z186:AB187">Z185+1300</f>
        <v>56960</v>
      </c>
      <c r="AA186" s="390">
        <f t="shared" si="32"/>
        <v>56960</v>
      </c>
      <c r="AB186" s="390">
        <f t="shared" si="32"/>
        <v>56960</v>
      </c>
      <c r="AC186" s="390">
        <f>AC185+1300</f>
        <v>56960</v>
      </c>
      <c r="AD186" s="359"/>
      <c r="AE186" s="391"/>
      <c r="AF186" s="391"/>
      <c r="AG186" s="391"/>
      <c r="AH186" s="359"/>
    </row>
    <row r="187" spans="10:34" s="339" customFormat="1" ht="15" hidden="1">
      <c r="J187" s="339" t="s">
        <v>546</v>
      </c>
      <c r="K187" s="353">
        <v>13</v>
      </c>
      <c r="L187" s="339">
        <v>16</v>
      </c>
      <c r="M187" s="444" t="s">
        <v>535</v>
      </c>
      <c r="O187" s="447"/>
      <c r="P187" s="403" t="s">
        <v>45</v>
      </c>
      <c r="Q187" s="403" t="s">
        <v>36</v>
      </c>
      <c r="R187" s="403" t="s">
        <v>39</v>
      </c>
      <c r="S187" s="403" t="s">
        <v>40</v>
      </c>
      <c r="T187" s="404">
        <v>18</v>
      </c>
      <c r="U187" s="403" t="s">
        <v>499</v>
      </c>
      <c r="X187" s="339">
        <v>64</v>
      </c>
      <c r="Y187" s="390">
        <f>Y186+1300</f>
        <v>56960</v>
      </c>
      <c r="Z187" s="390">
        <f t="shared" si="32"/>
        <v>58260</v>
      </c>
      <c r="AA187" s="390">
        <f t="shared" si="32"/>
        <v>58260</v>
      </c>
      <c r="AB187" s="390">
        <f t="shared" si="32"/>
        <v>58260</v>
      </c>
      <c r="AC187" s="390">
        <f>AC186+1300</f>
        <v>58260</v>
      </c>
      <c r="AD187" s="359"/>
      <c r="AE187" s="391"/>
      <c r="AF187" s="405">
        <v>1</v>
      </c>
      <c r="AG187" s="406">
        <v>6700</v>
      </c>
      <c r="AH187" s="406">
        <v>6900</v>
      </c>
    </row>
    <row r="188" spans="11:34" s="339" customFormat="1" ht="15" hidden="1">
      <c r="K188" s="339" t="str">
        <f>VLOOKUP(K187,L172:M203,2,TRUE)</f>
        <v>11860-34050</v>
      </c>
      <c r="L188" s="339">
        <v>17</v>
      </c>
      <c r="M188" s="444" t="s">
        <v>36</v>
      </c>
      <c r="O188" s="447"/>
      <c r="P188" s="403" t="s">
        <v>32</v>
      </c>
      <c r="Q188" s="403" t="s">
        <v>39</v>
      </c>
      <c r="R188" s="403" t="s">
        <v>39</v>
      </c>
      <c r="S188" s="403" t="s">
        <v>41</v>
      </c>
      <c r="T188" s="404">
        <v>24</v>
      </c>
      <c r="U188" s="403" t="s">
        <v>499</v>
      </c>
      <c r="Y188" s="391"/>
      <c r="Z188" s="391"/>
      <c r="AA188" s="391"/>
      <c r="AD188" s="359"/>
      <c r="AE188" s="359"/>
      <c r="AF188" s="405">
        <v>2</v>
      </c>
      <c r="AG188" s="406">
        <v>6900</v>
      </c>
      <c r="AH188" s="406">
        <v>7100</v>
      </c>
    </row>
    <row r="189" spans="12:34" s="339" customFormat="1" ht="15" hidden="1">
      <c r="L189" s="339">
        <v>18</v>
      </c>
      <c r="M189" s="444" t="s">
        <v>37</v>
      </c>
      <c r="O189" s="447"/>
      <c r="P189" s="403"/>
      <c r="Q189" s="403"/>
      <c r="R189" s="403"/>
      <c r="S189" s="403"/>
      <c r="T189" s="404"/>
      <c r="AF189" s="405">
        <v>3</v>
      </c>
      <c r="AG189" s="406">
        <v>7100</v>
      </c>
      <c r="AH189" s="406">
        <v>7300</v>
      </c>
    </row>
    <row r="190" spans="12:34" s="339" customFormat="1" ht="15" hidden="1">
      <c r="L190" s="339">
        <v>19</v>
      </c>
      <c r="M190" s="444" t="s">
        <v>536</v>
      </c>
      <c r="O190" s="447" t="str">
        <f>P181</f>
        <v>SPP-IA</v>
      </c>
      <c r="P190" s="403" t="str">
        <f>K193</f>
        <v>14860-39540</v>
      </c>
      <c r="Q190" s="403">
        <f>VLOOKUP(O190,P185:T188,5,0)</f>
        <v>12</v>
      </c>
      <c r="R190" s="403" t="str">
        <f>K188</f>
        <v>11860-34050</v>
      </c>
      <c r="S190" s="403"/>
      <c r="T190" s="404"/>
      <c r="AF190" s="405">
        <v>4</v>
      </c>
      <c r="AG190" s="406">
        <v>7300</v>
      </c>
      <c r="AH190" s="406">
        <v>7520</v>
      </c>
    </row>
    <row r="191" spans="12:34" s="339" customFormat="1" ht="15" hidden="1">
      <c r="L191" s="339">
        <v>20</v>
      </c>
      <c r="M191" s="444" t="s">
        <v>39</v>
      </c>
      <c r="O191" s="447"/>
      <c r="P191" s="448"/>
      <c r="Q191" s="403"/>
      <c r="R191" s="403"/>
      <c r="S191" s="403"/>
      <c r="T191" s="404"/>
      <c r="AF191" s="405">
        <v>5</v>
      </c>
      <c r="AG191" s="406">
        <v>7520</v>
      </c>
      <c r="AH191" s="406">
        <v>7740</v>
      </c>
    </row>
    <row r="192" spans="10:34" s="339" customFormat="1" ht="15" hidden="1">
      <c r="J192" s="339" t="s">
        <v>547</v>
      </c>
      <c r="K192" s="353">
        <v>17</v>
      </c>
      <c r="L192" s="339">
        <v>21</v>
      </c>
      <c r="M192" s="444" t="s">
        <v>40</v>
      </c>
      <c r="O192" s="447"/>
      <c r="P192" s="403"/>
      <c r="Q192" s="403"/>
      <c r="R192" s="403"/>
      <c r="S192" s="403"/>
      <c r="T192" s="404"/>
      <c r="AF192" s="405">
        <v>6</v>
      </c>
      <c r="AG192" s="406">
        <v>7740</v>
      </c>
      <c r="AH192" s="406">
        <v>7960</v>
      </c>
    </row>
    <row r="193" spans="11:34" s="339" customFormat="1" ht="15" hidden="1">
      <c r="K193" s="339" t="str">
        <f>VLOOKUP(K192,L172:M203,2,TRUE)</f>
        <v>14860-39540</v>
      </c>
      <c r="L193" s="339">
        <v>22</v>
      </c>
      <c r="M193" s="444" t="s">
        <v>537</v>
      </c>
      <c r="O193" s="447"/>
      <c r="P193" s="403"/>
      <c r="Q193" s="403"/>
      <c r="R193" s="403"/>
      <c r="S193" s="403"/>
      <c r="T193" s="404"/>
      <c r="AF193" s="405">
        <v>7</v>
      </c>
      <c r="AG193" s="407">
        <v>7960</v>
      </c>
      <c r="AH193" s="407">
        <v>8200</v>
      </c>
    </row>
    <row r="194" spans="12:34" s="339" customFormat="1" ht="15" hidden="1">
      <c r="L194" s="339">
        <v>23</v>
      </c>
      <c r="M194" s="444" t="s">
        <v>41</v>
      </c>
      <c r="O194" s="447"/>
      <c r="P194" s="403">
        <v>6</v>
      </c>
      <c r="Q194" s="403" t="s">
        <v>34</v>
      </c>
      <c r="R194" s="403" t="s">
        <v>36</v>
      </c>
      <c r="S194" s="403" t="s">
        <v>39</v>
      </c>
      <c r="T194" s="404" t="s">
        <v>499</v>
      </c>
      <c r="U194" s="339">
        <v>6</v>
      </c>
      <c r="AF194" s="405">
        <v>8</v>
      </c>
      <c r="AG194" s="407">
        <v>8200</v>
      </c>
      <c r="AH194" s="407">
        <v>8440</v>
      </c>
    </row>
    <row r="195" spans="12:34" s="339" customFormat="1" ht="15" hidden="1">
      <c r="L195" s="339">
        <v>24</v>
      </c>
      <c r="M195" s="444" t="s">
        <v>538</v>
      </c>
      <c r="O195" s="447"/>
      <c r="P195" s="403">
        <v>12</v>
      </c>
      <c r="Q195" s="403" t="s">
        <v>35</v>
      </c>
      <c r="R195" s="403" t="s">
        <v>37</v>
      </c>
      <c r="S195" s="403" t="s">
        <v>40</v>
      </c>
      <c r="T195" s="404" t="s">
        <v>499</v>
      </c>
      <c r="U195" s="339">
        <v>12</v>
      </c>
      <c r="AF195" s="405">
        <v>9</v>
      </c>
      <c r="AG195" s="407">
        <v>8440</v>
      </c>
      <c r="AH195" s="407">
        <v>8680</v>
      </c>
    </row>
    <row r="196" spans="12:34" s="339" customFormat="1" ht="15" hidden="1">
      <c r="L196" s="339">
        <v>25</v>
      </c>
      <c r="M196" s="444" t="s">
        <v>539</v>
      </c>
      <c r="O196" s="447"/>
      <c r="P196" s="403">
        <v>18</v>
      </c>
      <c r="Q196" s="403" t="s">
        <v>36</v>
      </c>
      <c r="R196" s="403" t="s">
        <v>39</v>
      </c>
      <c r="S196" s="403" t="s">
        <v>40</v>
      </c>
      <c r="T196" s="404" t="s">
        <v>499</v>
      </c>
      <c r="U196" s="339">
        <v>18</v>
      </c>
      <c r="AF196" s="405">
        <v>10</v>
      </c>
      <c r="AG196" s="407">
        <v>8680</v>
      </c>
      <c r="AH196" s="407">
        <v>8940</v>
      </c>
    </row>
    <row r="197" spans="12:34" s="339" customFormat="1" ht="15" hidden="1">
      <c r="L197" s="339">
        <v>26</v>
      </c>
      <c r="M197" s="444" t="s">
        <v>521</v>
      </c>
      <c r="O197" s="447"/>
      <c r="P197" s="403">
        <v>24</v>
      </c>
      <c r="Q197" s="403" t="s">
        <v>36</v>
      </c>
      <c r="R197" s="403" t="s">
        <v>39</v>
      </c>
      <c r="S197" s="403" t="s">
        <v>40</v>
      </c>
      <c r="T197" s="404" t="s">
        <v>499</v>
      </c>
      <c r="U197" s="339">
        <v>24</v>
      </c>
      <c r="AF197" s="405">
        <v>11</v>
      </c>
      <c r="AG197" s="407">
        <v>8940</v>
      </c>
      <c r="AH197" s="407">
        <v>9200</v>
      </c>
    </row>
    <row r="198" spans="12:34" s="339" customFormat="1" ht="15.75" hidden="1" thickBot="1">
      <c r="L198" s="339">
        <v>27</v>
      </c>
      <c r="M198" s="444" t="s">
        <v>540</v>
      </c>
      <c r="O198" s="449"/>
      <c r="P198" s="408"/>
      <c r="Q198" s="408"/>
      <c r="R198" s="408"/>
      <c r="S198" s="408"/>
      <c r="T198" s="409"/>
      <c r="AF198" s="405">
        <v>12</v>
      </c>
      <c r="AG198" s="407">
        <v>9200</v>
      </c>
      <c r="AH198" s="407">
        <v>9460</v>
      </c>
    </row>
    <row r="199" spans="12:34" s="339" customFormat="1" ht="15.75" hidden="1" thickTop="1">
      <c r="L199" s="339">
        <v>28</v>
      </c>
      <c r="M199" s="444" t="s">
        <v>541</v>
      </c>
      <c r="W199" s="353"/>
      <c r="AF199" s="405">
        <v>13</v>
      </c>
      <c r="AG199" s="407">
        <v>9460</v>
      </c>
      <c r="AH199" s="407">
        <v>9740</v>
      </c>
    </row>
    <row r="200" spans="12:34" s="339" customFormat="1" ht="15" hidden="1">
      <c r="L200" s="339">
        <v>29</v>
      </c>
      <c r="M200" s="444" t="s">
        <v>542</v>
      </c>
      <c r="AF200" s="405">
        <v>14</v>
      </c>
      <c r="AG200" s="407">
        <v>9740</v>
      </c>
      <c r="AH200" s="407">
        <v>10020</v>
      </c>
    </row>
    <row r="201" spans="12:34" s="339" customFormat="1" ht="15" hidden="1">
      <c r="L201" s="339">
        <v>30</v>
      </c>
      <c r="M201" s="444" t="s">
        <v>543</v>
      </c>
      <c r="AF201" s="405">
        <v>15</v>
      </c>
      <c r="AG201" s="407">
        <v>10020</v>
      </c>
      <c r="AH201" s="407">
        <v>10300</v>
      </c>
    </row>
    <row r="202" spans="12:34" s="339" customFormat="1" ht="15" hidden="1">
      <c r="L202" s="339">
        <v>31</v>
      </c>
      <c r="M202" s="444" t="s">
        <v>544</v>
      </c>
      <c r="AF202" s="405">
        <v>16</v>
      </c>
      <c r="AG202" s="407">
        <v>10300</v>
      </c>
      <c r="AH202" s="407">
        <v>10600</v>
      </c>
    </row>
    <row r="203" spans="12:34" s="339" customFormat="1" ht="15" hidden="1">
      <c r="L203" s="339">
        <v>32</v>
      </c>
      <c r="M203" s="444" t="s">
        <v>545</v>
      </c>
      <c r="AF203" s="405">
        <v>17</v>
      </c>
      <c r="AG203" s="406">
        <v>10600</v>
      </c>
      <c r="AH203" s="410">
        <v>10900</v>
      </c>
    </row>
    <row r="204" spans="32:34" s="339" customFormat="1" ht="15" hidden="1">
      <c r="AF204" s="405">
        <v>18</v>
      </c>
      <c r="AG204" s="411">
        <v>10900</v>
      </c>
      <c r="AH204" s="411">
        <v>11200</v>
      </c>
    </row>
    <row r="205" spans="32:34" s="339" customFormat="1" ht="15" hidden="1">
      <c r="AF205" s="405">
        <v>19</v>
      </c>
      <c r="AG205" s="412">
        <v>11200</v>
      </c>
      <c r="AH205" s="412">
        <v>11530</v>
      </c>
    </row>
    <row r="206" spans="32:34" s="339" customFormat="1" ht="15" hidden="1">
      <c r="AF206" s="405">
        <v>20</v>
      </c>
      <c r="AG206" s="412">
        <v>11530</v>
      </c>
      <c r="AH206" s="412">
        <v>11860</v>
      </c>
    </row>
    <row r="207" spans="32:34" s="339" customFormat="1" ht="15" hidden="1">
      <c r="AF207" s="405">
        <v>21</v>
      </c>
      <c r="AG207" s="412">
        <v>11860</v>
      </c>
      <c r="AH207" s="412">
        <v>12190</v>
      </c>
    </row>
    <row r="208" spans="32:34" s="339" customFormat="1" ht="15" hidden="1">
      <c r="AF208" s="405">
        <v>22</v>
      </c>
      <c r="AG208" s="412">
        <v>12190</v>
      </c>
      <c r="AH208" s="412">
        <v>12550</v>
      </c>
    </row>
    <row r="209" spans="32:34" s="339" customFormat="1" ht="15" hidden="1">
      <c r="AF209" s="405">
        <v>23</v>
      </c>
      <c r="AG209" s="412">
        <v>12550</v>
      </c>
      <c r="AH209" s="412">
        <v>12910</v>
      </c>
    </row>
    <row r="210" spans="32:34" s="339" customFormat="1" ht="15" hidden="1">
      <c r="AF210" s="405">
        <v>24</v>
      </c>
      <c r="AG210" s="412">
        <v>12910</v>
      </c>
      <c r="AH210" s="412">
        <v>13270</v>
      </c>
    </row>
    <row r="211" spans="32:34" s="339" customFormat="1" ht="15" hidden="1">
      <c r="AF211" s="405">
        <v>25</v>
      </c>
      <c r="AG211" s="412">
        <v>13270</v>
      </c>
      <c r="AH211" s="412">
        <v>13660</v>
      </c>
    </row>
    <row r="212" spans="32:34" s="339" customFormat="1" ht="15" hidden="1">
      <c r="AF212" s="405">
        <v>26</v>
      </c>
      <c r="AG212" s="412">
        <v>13660</v>
      </c>
      <c r="AH212" s="412">
        <v>14050</v>
      </c>
    </row>
    <row r="213" spans="32:34" s="339" customFormat="1" ht="15" hidden="1">
      <c r="AF213" s="405">
        <v>27</v>
      </c>
      <c r="AG213" s="412">
        <v>14050</v>
      </c>
      <c r="AH213" s="412">
        <v>14440</v>
      </c>
    </row>
    <row r="214" spans="32:34" s="339" customFormat="1" ht="15" hidden="1">
      <c r="AF214" s="405">
        <v>28</v>
      </c>
      <c r="AG214" s="412">
        <v>14440</v>
      </c>
      <c r="AH214" s="412">
        <v>14860</v>
      </c>
    </row>
    <row r="215" spans="32:34" s="339" customFormat="1" ht="15" hidden="1">
      <c r="AF215" s="405">
        <v>29</v>
      </c>
      <c r="AG215" s="412">
        <v>14860</v>
      </c>
      <c r="AH215" s="412">
        <v>15280</v>
      </c>
    </row>
    <row r="216" spans="32:34" s="339" customFormat="1" ht="15" hidden="1">
      <c r="AF216" s="405">
        <v>30</v>
      </c>
      <c r="AG216" s="412">
        <v>15280</v>
      </c>
      <c r="AH216" s="412">
        <v>15700</v>
      </c>
    </row>
    <row r="217" spans="32:34" s="339" customFormat="1" ht="15" hidden="1">
      <c r="AF217" s="405">
        <v>31</v>
      </c>
      <c r="AG217" s="412">
        <v>15700</v>
      </c>
      <c r="AH217" s="412">
        <v>16150</v>
      </c>
    </row>
    <row r="218" spans="32:34" s="339" customFormat="1" ht="15" hidden="1">
      <c r="AF218" s="405">
        <v>32</v>
      </c>
      <c r="AG218" s="412">
        <v>16150</v>
      </c>
      <c r="AH218" s="412">
        <v>16600</v>
      </c>
    </row>
    <row r="219" spans="32:34" s="339" customFormat="1" ht="15" hidden="1">
      <c r="AF219" s="405">
        <v>33</v>
      </c>
      <c r="AG219" s="412">
        <v>16600</v>
      </c>
      <c r="AH219" s="412">
        <v>17050</v>
      </c>
    </row>
    <row r="220" spans="32:34" s="339" customFormat="1" ht="15" hidden="1">
      <c r="AF220" s="405">
        <v>34</v>
      </c>
      <c r="AG220" s="412">
        <v>17050</v>
      </c>
      <c r="AH220" s="412">
        <v>17540</v>
      </c>
    </row>
    <row r="221" spans="32:34" s="339" customFormat="1" ht="15">
      <c r="AF221" s="405">
        <v>35</v>
      </c>
      <c r="AG221" s="412">
        <v>17540</v>
      </c>
      <c r="AH221" s="412">
        <v>18030</v>
      </c>
    </row>
    <row r="222" spans="32:34" s="339" customFormat="1" ht="15">
      <c r="AF222" s="405">
        <v>36</v>
      </c>
      <c r="AG222" s="412">
        <v>18030</v>
      </c>
      <c r="AH222" s="412">
        <v>18520</v>
      </c>
    </row>
    <row r="223" spans="32:34" s="339" customFormat="1" ht="15">
      <c r="AF223" s="405">
        <v>37</v>
      </c>
      <c r="AG223" s="412">
        <v>18520</v>
      </c>
      <c r="AH223" s="412">
        <v>19050</v>
      </c>
    </row>
    <row r="224" spans="32:34" s="339" customFormat="1" ht="15">
      <c r="AF224" s="405">
        <v>38</v>
      </c>
      <c r="AG224" s="412">
        <v>19050</v>
      </c>
      <c r="AH224" s="412">
        <v>19580</v>
      </c>
    </row>
    <row r="225" spans="32:34" s="339" customFormat="1" ht="15">
      <c r="AF225" s="405">
        <v>39</v>
      </c>
      <c r="AG225" s="412">
        <v>19580</v>
      </c>
      <c r="AH225" s="412">
        <v>20110</v>
      </c>
    </row>
    <row r="226" spans="32:34" s="339" customFormat="1" ht="15">
      <c r="AF226" s="405">
        <v>40</v>
      </c>
      <c r="AG226" s="412">
        <v>20110</v>
      </c>
      <c r="AH226" s="412">
        <v>20680</v>
      </c>
    </row>
    <row r="227" spans="32:34" s="339" customFormat="1" ht="15">
      <c r="AF227" s="405">
        <v>41</v>
      </c>
      <c r="AG227" s="412">
        <v>20680</v>
      </c>
      <c r="AH227" s="412">
        <v>21250</v>
      </c>
    </row>
    <row r="228" spans="32:34" s="339" customFormat="1" ht="15">
      <c r="AF228" s="405">
        <v>42</v>
      </c>
      <c r="AG228" s="412">
        <v>21250</v>
      </c>
      <c r="AH228" s="412">
        <v>21820</v>
      </c>
    </row>
    <row r="229" spans="32:34" s="339" customFormat="1" ht="15">
      <c r="AF229" s="405">
        <v>43</v>
      </c>
      <c r="AG229" s="412">
        <v>21820</v>
      </c>
      <c r="AH229" s="412">
        <v>22430</v>
      </c>
    </row>
    <row r="230" spans="32:34" s="339" customFormat="1" ht="15">
      <c r="AF230" s="405">
        <v>44</v>
      </c>
      <c r="AG230" s="412">
        <v>22430</v>
      </c>
      <c r="AH230" s="412">
        <v>23040</v>
      </c>
    </row>
    <row r="231" spans="32:34" s="339" customFormat="1" ht="15">
      <c r="AF231" s="405">
        <v>45</v>
      </c>
      <c r="AG231" s="412">
        <v>23040</v>
      </c>
      <c r="AH231" s="412">
        <v>23650</v>
      </c>
    </row>
    <row r="232" spans="32:34" s="339" customFormat="1" ht="15">
      <c r="AF232" s="405">
        <v>46</v>
      </c>
      <c r="AG232" s="412">
        <v>23650</v>
      </c>
      <c r="AH232" s="412">
        <v>24300</v>
      </c>
    </row>
    <row r="233" spans="32:34" s="339" customFormat="1" ht="15">
      <c r="AF233" s="405">
        <v>47</v>
      </c>
      <c r="AG233" s="412">
        <v>24300</v>
      </c>
      <c r="AH233" s="412">
        <v>24950</v>
      </c>
    </row>
    <row r="234" spans="32:34" s="339" customFormat="1" ht="15">
      <c r="AF234" s="405">
        <v>48</v>
      </c>
      <c r="AG234" s="412">
        <v>24950</v>
      </c>
      <c r="AH234" s="412">
        <v>25600</v>
      </c>
    </row>
    <row r="235" spans="32:34" s="339" customFormat="1" ht="15">
      <c r="AF235" s="405">
        <v>49</v>
      </c>
      <c r="AG235" s="412">
        <v>25600</v>
      </c>
      <c r="AH235" s="412">
        <v>26300</v>
      </c>
    </row>
    <row r="236" spans="32:34" s="339" customFormat="1" ht="15">
      <c r="AF236" s="405">
        <v>50</v>
      </c>
      <c r="AG236" s="412">
        <v>26300</v>
      </c>
      <c r="AH236" s="412">
        <v>27000</v>
      </c>
    </row>
    <row r="237" spans="32:34" s="339" customFormat="1" ht="15">
      <c r="AF237" s="405">
        <v>51</v>
      </c>
      <c r="AG237" s="412">
        <v>27000</v>
      </c>
      <c r="AH237" s="412">
        <v>27700</v>
      </c>
    </row>
    <row r="238" spans="32:34" s="339" customFormat="1" ht="15">
      <c r="AF238" s="405">
        <v>52</v>
      </c>
      <c r="AG238" s="412">
        <v>27700</v>
      </c>
      <c r="AH238" s="412">
        <v>28450</v>
      </c>
    </row>
    <row r="239" spans="32:34" s="339" customFormat="1" ht="15">
      <c r="AF239" s="405">
        <v>53</v>
      </c>
      <c r="AG239" s="412">
        <v>28450</v>
      </c>
      <c r="AH239" s="412">
        <v>29200</v>
      </c>
    </row>
    <row r="240" spans="32:34" s="339" customFormat="1" ht="15">
      <c r="AF240" s="405">
        <v>54</v>
      </c>
      <c r="AG240" s="412">
        <v>29200</v>
      </c>
      <c r="AH240" s="412">
        <v>29950</v>
      </c>
    </row>
    <row r="241" spans="32:34" s="339" customFormat="1" ht="15">
      <c r="AF241" s="405">
        <v>55</v>
      </c>
      <c r="AG241" s="412">
        <v>29950</v>
      </c>
      <c r="AH241" s="412">
        <v>30750</v>
      </c>
    </row>
    <row r="242" spans="32:34" s="339" customFormat="1" ht="15">
      <c r="AF242" s="405">
        <v>56</v>
      </c>
      <c r="AG242" s="412">
        <v>30750</v>
      </c>
      <c r="AH242" s="412">
        <v>31550</v>
      </c>
    </row>
    <row r="243" spans="32:34" s="339" customFormat="1" ht="15">
      <c r="AF243" s="405">
        <v>57</v>
      </c>
      <c r="AG243" s="412">
        <v>31550</v>
      </c>
      <c r="AH243" s="412">
        <v>32350</v>
      </c>
    </row>
    <row r="244" spans="32:34" s="339" customFormat="1" ht="15">
      <c r="AF244" s="405">
        <v>58</v>
      </c>
      <c r="AG244" s="412">
        <v>32350</v>
      </c>
      <c r="AH244" s="412">
        <v>33200</v>
      </c>
    </row>
    <row r="245" spans="32:34" s="339" customFormat="1" ht="15">
      <c r="AF245" s="405">
        <v>59</v>
      </c>
      <c r="AG245" s="412">
        <v>33200</v>
      </c>
      <c r="AH245" s="412">
        <v>34050</v>
      </c>
    </row>
    <row r="246" spans="32:34" s="339" customFormat="1" ht="15">
      <c r="AF246" s="405">
        <v>60</v>
      </c>
      <c r="AG246" s="412">
        <v>34050</v>
      </c>
      <c r="AH246" s="412">
        <v>34900</v>
      </c>
    </row>
    <row r="247" spans="32:34" s="339" customFormat="1" ht="15">
      <c r="AF247" s="405">
        <v>61</v>
      </c>
      <c r="AG247" s="412">
        <v>34900</v>
      </c>
      <c r="AH247" s="412">
        <v>35800</v>
      </c>
    </row>
    <row r="248" spans="32:34" s="339" customFormat="1" ht="15">
      <c r="AF248" s="405">
        <v>62</v>
      </c>
      <c r="AG248" s="412">
        <v>35800</v>
      </c>
      <c r="AH248" s="412">
        <v>36700</v>
      </c>
    </row>
    <row r="249" spans="32:34" s="339" customFormat="1" ht="15">
      <c r="AF249" s="405">
        <v>63</v>
      </c>
      <c r="AG249" s="412">
        <v>36700</v>
      </c>
      <c r="AH249" s="412">
        <v>37600</v>
      </c>
    </row>
    <row r="250" spans="32:34" s="339" customFormat="1" ht="15">
      <c r="AF250" s="405">
        <v>64</v>
      </c>
      <c r="AG250" s="412">
        <v>37600</v>
      </c>
      <c r="AH250" s="412">
        <v>38570</v>
      </c>
    </row>
    <row r="251" spans="32:34" s="339" customFormat="1" ht="15">
      <c r="AF251" s="405">
        <v>65</v>
      </c>
      <c r="AG251" s="412">
        <v>38570</v>
      </c>
      <c r="AH251" s="412">
        <v>39540</v>
      </c>
    </row>
    <row r="252" spans="32:34" s="339" customFormat="1" ht="15">
      <c r="AF252" s="405">
        <v>66</v>
      </c>
      <c r="AG252" s="412">
        <v>39540</v>
      </c>
      <c r="AH252" s="412">
        <v>40510</v>
      </c>
    </row>
    <row r="253" spans="32:34" s="339" customFormat="1" ht="15">
      <c r="AF253" s="405">
        <v>67</v>
      </c>
      <c r="AG253" s="412">
        <v>40510</v>
      </c>
      <c r="AH253" s="412">
        <v>41550</v>
      </c>
    </row>
    <row r="254" spans="32:34" s="339" customFormat="1" ht="15">
      <c r="AF254" s="405">
        <v>68</v>
      </c>
      <c r="AG254" s="412">
        <v>41550</v>
      </c>
      <c r="AH254" s="413">
        <v>42590</v>
      </c>
    </row>
    <row r="255" spans="32:34" s="339" customFormat="1" ht="15">
      <c r="AF255" s="405">
        <v>69</v>
      </c>
      <c r="AG255" s="412">
        <v>42590</v>
      </c>
      <c r="AH255" s="414">
        <v>43630</v>
      </c>
    </row>
    <row r="256" spans="32:34" s="339" customFormat="1" ht="15">
      <c r="AF256" s="405">
        <v>70</v>
      </c>
      <c r="AG256" s="415">
        <v>43630</v>
      </c>
      <c r="AH256" s="415">
        <v>44740</v>
      </c>
    </row>
    <row r="257" spans="32:34" s="339" customFormat="1" ht="15">
      <c r="AF257" s="405">
        <v>71</v>
      </c>
      <c r="AG257" s="415">
        <v>44740</v>
      </c>
      <c r="AH257" s="416">
        <v>45850</v>
      </c>
    </row>
    <row r="258" spans="32:34" s="339" customFormat="1" ht="15">
      <c r="AF258" s="405">
        <v>72</v>
      </c>
      <c r="AG258" s="416">
        <v>45850</v>
      </c>
      <c r="AH258" s="415">
        <v>46960</v>
      </c>
    </row>
    <row r="259" spans="32:34" s="339" customFormat="1" ht="15">
      <c r="AF259" s="405">
        <v>73</v>
      </c>
      <c r="AG259" s="415">
        <v>46960</v>
      </c>
      <c r="AH259" s="415">
        <v>48070</v>
      </c>
    </row>
    <row r="260" spans="32:34" s="339" customFormat="1" ht="15">
      <c r="AF260" s="405">
        <v>74</v>
      </c>
      <c r="AG260" s="415">
        <v>48070</v>
      </c>
      <c r="AH260" s="416">
        <v>49180</v>
      </c>
    </row>
    <row r="261" spans="32:34" s="339" customFormat="1" ht="15">
      <c r="AF261" s="405">
        <v>75</v>
      </c>
      <c r="AG261" s="416">
        <v>49180</v>
      </c>
      <c r="AH261" s="415">
        <v>50290</v>
      </c>
    </row>
    <row r="262" spans="32:34" s="339" customFormat="1" ht="15">
      <c r="AF262" s="405">
        <v>76</v>
      </c>
      <c r="AG262" s="415">
        <v>50290</v>
      </c>
      <c r="AH262" s="415">
        <v>51400</v>
      </c>
    </row>
    <row r="263" spans="32:34" s="339" customFormat="1" ht="15">
      <c r="AF263" s="405">
        <v>77</v>
      </c>
      <c r="AG263" s="415">
        <v>51400</v>
      </c>
      <c r="AH263" s="416">
        <v>52510</v>
      </c>
    </row>
    <row r="264" spans="32:34" s="339" customFormat="1" ht="15">
      <c r="AF264" s="405">
        <v>78</v>
      </c>
      <c r="AG264" s="415">
        <v>52510</v>
      </c>
      <c r="AH264" s="415">
        <v>53620</v>
      </c>
    </row>
    <row r="265" spans="32:34" s="339" customFormat="1" ht="15">
      <c r="AF265" s="405">
        <v>79</v>
      </c>
      <c r="AG265" s="415">
        <v>53620</v>
      </c>
      <c r="AH265" s="416">
        <v>54730</v>
      </c>
    </row>
    <row r="266" spans="32:34" s="339" customFormat="1" ht="15">
      <c r="AF266" s="405">
        <v>80</v>
      </c>
      <c r="AG266" s="415">
        <v>54730</v>
      </c>
      <c r="AH266" s="415">
        <v>55840</v>
      </c>
    </row>
    <row r="267" spans="32:34" s="339" customFormat="1" ht="15">
      <c r="AF267" s="405">
        <v>81</v>
      </c>
      <c r="AG267" s="415">
        <v>55840</v>
      </c>
      <c r="AH267" s="415">
        <v>56950</v>
      </c>
    </row>
    <row r="268" spans="32:34" s="339" customFormat="1" ht="15">
      <c r="AF268" s="405">
        <v>82</v>
      </c>
      <c r="AG268" s="415">
        <v>56950</v>
      </c>
      <c r="AH268" s="415">
        <v>58060</v>
      </c>
    </row>
    <row r="269" spans="32:34" s="339" customFormat="1" ht="15">
      <c r="AF269" s="405">
        <v>83</v>
      </c>
      <c r="AG269" s="415">
        <v>58060</v>
      </c>
      <c r="AH269" s="416">
        <v>59170</v>
      </c>
    </row>
    <row r="270" spans="32:34" s="339" customFormat="1" ht="15">
      <c r="AF270" s="405">
        <v>84</v>
      </c>
      <c r="AG270" s="416">
        <v>59170</v>
      </c>
      <c r="AH270" s="415">
        <v>60280</v>
      </c>
    </row>
    <row r="271" spans="32:34" s="339" customFormat="1" ht="15">
      <c r="AF271" s="405">
        <v>85</v>
      </c>
      <c r="AG271" s="415">
        <v>60280</v>
      </c>
      <c r="AH271" s="416">
        <v>61390</v>
      </c>
    </row>
    <row r="272" spans="32:34" s="339" customFormat="1" ht="15">
      <c r="AF272" s="405">
        <v>86</v>
      </c>
      <c r="AG272" s="416">
        <v>61390</v>
      </c>
      <c r="AH272" s="415">
        <v>62500</v>
      </c>
    </row>
    <row r="273" spans="32:34" s="339" customFormat="1" ht="15">
      <c r="AF273" s="405">
        <v>87</v>
      </c>
      <c r="AG273" s="415">
        <v>62500</v>
      </c>
      <c r="AH273" s="416">
        <v>63610</v>
      </c>
    </row>
    <row r="274" s="339" customFormat="1" ht="15"/>
    <row r="275" s="339" customFormat="1" ht="15"/>
    <row r="276" s="339" customFormat="1" ht="15"/>
    <row r="277" s="339" customFormat="1" ht="15"/>
    <row r="278" s="339" customFormat="1" ht="15"/>
    <row r="279" s="339" customFormat="1" ht="15"/>
    <row r="280" s="339" customFormat="1" ht="15"/>
    <row r="281" s="339" customFormat="1" ht="15"/>
    <row r="282" s="339" customFormat="1" ht="15"/>
    <row r="283" s="339" customFormat="1" ht="15"/>
    <row r="284" s="339" customFormat="1" ht="15"/>
    <row r="285" s="339" customFormat="1" ht="15"/>
    <row r="286" s="339" customFormat="1" ht="15"/>
    <row r="287" s="339" customFormat="1" ht="15"/>
    <row r="288" s="339" customFormat="1" ht="15"/>
    <row r="289" s="339" customFormat="1" ht="15"/>
    <row r="290" s="339" customFormat="1" ht="15"/>
    <row r="291" s="339" customFormat="1" ht="15"/>
    <row r="292" s="339" customFormat="1" ht="15"/>
    <row r="293" s="339" customFormat="1" ht="15"/>
    <row r="294" s="339" customFormat="1" ht="15"/>
    <row r="295" s="339" customFormat="1" ht="15"/>
    <row r="296" s="339" customFormat="1" ht="15"/>
    <row r="297" s="339" customFormat="1" ht="15"/>
    <row r="298" s="339" customFormat="1" ht="15"/>
    <row r="299" s="339" customFormat="1" ht="15"/>
    <row r="300" s="339" customFormat="1" ht="15"/>
    <row r="301" s="339" customFormat="1" ht="15"/>
    <row r="302" s="339" customFormat="1" ht="15"/>
    <row r="303" s="339" customFormat="1" ht="15"/>
    <row r="304" s="339" customFormat="1" ht="15"/>
    <row r="305" s="339" customFormat="1" ht="15"/>
    <row r="306" s="339" customFormat="1" ht="15"/>
    <row r="307" s="339" customFormat="1" ht="15"/>
    <row r="308" s="339" customFormat="1" ht="15"/>
    <row r="309" s="339" customFormat="1" ht="15"/>
    <row r="310" s="339" customFormat="1" ht="15"/>
    <row r="311" s="339" customFormat="1" ht="15"/>
    <row r="312" s="339" customFormat="1" ht="15"/>
    <row r="313" s="339" customFormat="1" ht="15"/>
    <row r="314" s="339" customFormat="1" ht="15"/>
    <row r="315" s="339" customFormat="1" ht="15"/>
    <row r="316" s="339" customFormat="1" ht="15"/>
    <row r="317" s="339" customFormat="1" ht="15"/>
    <row r="318" s="339" customFormat="1" ht="15"/>
    <row r="319" s="339" customFormat="1" ht="15"/>
    <row r="320" s="339" customFormat="1" ht="15"/>
    <row r="321" s="339" customFormat="1" ht="15"/>
    <row r="322" s="339" customFormat="1" ht="15"/>
    <row r="323" s="339" customFormat="1" ht="15"/>
    <row r="324" s="339" customFormat="1" ht="15"/>
    <row r="325" s="339" customFormat="1" ht="15"/>
    <row r="326" s="339" customFormat="1" ht="15"/>
    <row r="327" s="339" customFormat="1" ht="15"/>
    <row r="328" s="339" customFormat="1" ht="15"/>
    <row r="329" s="339" customFormat="1" ht="15"/>
    <row r="330" s="339" customFormat="1" ht="15"/>
    <row r="331" s="339" customFormat="1" ht="15"/>
    <row r="332" s="339" customFormat="1" ht="15"/>
    <row r="333" s="339" customFormat="1" ht="15"/>
    <row r="334" s="339" customFormat="1" ht="15"/>
    <row r="335" s="339" customFormat="1" ht="15"/>
    <row r="336" s="339" customFormat="1" ht="15"/>
    <row r="337" s="339" customFormat="1" ht="15"/>
    <row r="338" s="339" customFormat="1" ht="15"/>
    <row r="339" s="339" customFormat="1" ht="15"/>
    <row r="340" s="339" customFormat="1" ht="15"/>
    <row r="341" s="339" customFormat="1" ht="15"/>
    <row r="342" s="339" customFormat="1" ht="15"/>
    <row r="343" s="339" customFormat="1" ht="15"/>
    <row r="344" s="339" customFormat="1" ht="15"/>
    <row r="345" s="339" customFormat="1" ht="15"/>
    <row r="346" s="339" customFormat="1" ht="15"/>
    <row r="347" s="339" customFormat="1" ht="15"/>
    <row r="348" s="339" customFormat="1" ht="15"/>
    <row r="349" s="339" customFormat="1" ht="15"/>
    <row r="350" s="339" customFormat="1" ht="15"/>
    <row r="351" s="339" customFormat="1" ht="15"/>
    <row r="352" s="339" customFormat="1" ht="15"/>
    <row r="353" s="339" customFormat="1" ht="15"/>
    <row r="354" s="339" customFormat="1" ht="15"/>
    <row r="355" s="339" customFormat="1" ht="15"/>
    <row r="356" s="339" customFormat="1" ht="15"/>
    <row r="357" s="339" customFormat="1" ht="15"/>
    <row r="358" s="339" customFormat="1" ht="15"/>
    <row r="359" s="339" customFormat="1" ht="15"/>
    <row r="360" s="339" customFormat="1" ht="15"/>
    <row r="361" s="339" customFormat="1" ht="15"/>
    <row r="362" s="339" customFormat="1" ht="15"/>
    <row r="363" s="339" customFormat="1" ht="15"/>
    <row r="364" s="339" customFormat="1" ht="15"/>
    <row r="365" s="339" customFormat="1" ht="15"/>
    <row r="366" s="339" customFormat="1" ht="15"/>
    <row r="367" s="339" customFormat="1" ht="15"/>
    <row r="368" s="339" customFormat="1" ht="15"/>
    <row r="369" s="339" customFormat="1" ht="15"/>
    <row r="370" s="339" customFormat="1" ht="15"/>
    <row r="371" s="339" customFormat="1" ht="15"/>
    <row r="372" s="339" customFormat="1" ht="15"/>
    <row r="373" s="339" customFormat="1" ht="15"/>
    <row r="374" s="339" customFormat="1" ht="15"/>
    <row r="375" s="339" customFormat="1" ht="15"/>
    <row r="376" s="339" customFormat="1" ht="15"/>
    <row r="377" s="339" customFormat="1" ht="15"/>
    <row r="378" s="339" customFormat="1" ht="15"/>
    <row r="379" s="339" customFormat="1" ht="15"/>
    <row r="380" s="339" customFormat="1" ht="15"/>
    <row r="381" s="339" customFormat="1" ht="15"/>
    <row r="382" s="339" customFormat="1" ht="15"/>
    <row r="383" s="339" customFormat="1" ht="15"/>
    <row r="384" s="339" customFormat="1" ht="15"/>
    <row r="385" s="339" customFormat="1" ht="15"/>
    <row r="386" s="339" customFormat="1" ht="15"/>
    <row r="387" s="339" customFormat="1" ht="15"/>
    <row r="388" s="339" customFormat="1" ht="15"/>
    <row r="389" s="339" customFormat="1" ht="15"/>
    <row r="390" s="339" customFormat="1" ht="15"/>
    <row r="391" s="339" customFormat="1" ht="15"/>
    <row r="392" s="339" customFormat="1" ht="15"/>
    <row r="393" s="339" customFormat="1" ht="15"/>
    <row r="394" s="339" customFormat="1" ht="15"/>
    <row r="395" s="339" customFormat="1" ht="15"/>
    <row r="396" s="339" customFormat="1" ht="15"/>
    <row r="397" s="339" customFormat="1" ht="15"/>
    <row r="398" s="339" customFormat="1" ht="15"/>
    <row r="399" s="339" customFormat="1" ht="15"/>
    <row r="400" s="339" customFormat="1" ht="15"/>
    <row r="401" s="339" customFormat="1" ht="15"/>
    <row r="402" s="339" customFormat="1" ht="15"/>
    <row r="403" s="339" customFormat="1" ht="15"/>
    <row r="404" s="339" customFormat="1" ht="15"/>
    <row r="405" s="339" customFormat="1" ht="15"/>
    <row r="406" s="339" customFormat="1" ht="15"/>
    <row r="407" s="339" customFormat="1" ht="15"/>
    <row r="408" s="339" customFormat="1" ht="15"/>
    <row r="409" s="339" customFormat="1" ht="15"/>
    <row r="410" s="339" customFormat="1" ht="15"/>
    <row r="411" s="339" customFormat="1" ht="15"/>
    <row r="412" s="339" customFormat="1" ht="15"/>
    <row r="413" s="339" customFormat="1" ht="15"/>
    <row r="414" s="339" customFormat="1" ht="15"/>
    <row r="415" s="339" customFormat="1" ht="15"/>
    <row r="416" s="339" customFormat="1" ht="15"/>
    <row r="417" s="339" customFormat="1" ht="15"/>
    <row r="418" s="339" customFormat="1" ht="15"/>
    <row r="419" s="339" customFormat="1" ht="15"/>
    <row r="420" s="339" customFormat="1" ht="15"/>
    <row r="421" s="339" customFormat="1" ht="15"/>
    <row r="422" s="339" customFormat="1" ht="15"/>
    <row r="423" s="339" customFormat="1" ht="15"/>
    <row r="424" s="339" customFormat="1" ht="15"/>
    <row r="425" s="339" customFormat="1" ht="15"/>
    <row r="426" s="339" customFormat="1" ht="15"/>
    <row r="427" s="339" customFormat="1" ht="15"/>
    <row r="428" s="339" customFormat="1" ht="15"/>
    <row r="429" s="339" customFormat="1" ht="15"/>
    <row r="430" s="339" customFormat="1" ht="15"/>
    <row r="431" s="339" customFormat="1" ht="15"/>
    <row r="432" s="339" customFormat="1" ht="15"/>
    <row r="433" s="339" customFormat="1" ht="15"/>
    <row r="434" s="339" customFormat="1" ht="15"/>
    <row r="435" s="339" customFormat="1" ht="15"/>
    <row r="436" s="339" customFormat="1" ht="15"/>
    <row r="437" s="339" customFormat="1" ht="15"/>
    <row r="438" s="339" customFormat="1" ht="15"/>
    <row r="439" s="339" customFormat="1" ht="15"/>
    <row r="440" s="339" customFormat="1" ht="15"/>
    <row r="441" s="339" customFormat="1" ht="15"/>
    <row r="442" s="339" customFormat="1" ht="15"/>
    <row r="443" s="339" customFormat="1" ht="15"/>
    <row r="444" s="339" customFormat="1" ht="15"/>
    <row r="445" s="339" customFormat="1" ht="15"/>
    <row r="446" s="339" customFormat="1" ht="15"/>
    <row r="447" s="339" customFormat="1" ht="15"/>
    <row r="448" s="339" customFormat="1" ht="15"/>
    <row r="449" s="339" customFormat="1" ht="15"/>
    <row r="450" s="339" customFormat="1" ht="15"/>
    <row r="451" s="339" customFormat="1" ht="15"/>
    <row r="452" s="339" customFormat="1" ht="15"/>
    <row r="453" s="339" customFormat="1" ht="15"/>
    <row r="454" s="339" customFormat="1" ht="15"/>
    <row r="455" s="339" customFormat="1" ht="15"/>
    <row r="456" s="339" customFormat="1" ht="15"/>
    <row r="457" s="339" customFormat="1" ht="15"/>
    <row r="458" s="339" customFormat="1" ht="15"/>
    <row r="459" s="339" customFormat="1" ht="15"/>
    <row r="460" s="339" customFormat="1" ht="15"/>
    <row r="461" s="339" customFormat="1" ht="15"/>
    <row r="462" s="339" customFormat="1" ht="15"/>
    <row r="463" s="339" customFormat="1" ht="15"/>
    <row r="464" s="339" customFormat="1" ht="15"/>
    <row r="465" s="339" customFormat="1" ht="15"/>
    <row r="466" s="339" customFormat="1" ht="15"/>
    <row r="467" s="339" customFormat="1" ht="15"/>
    <row r="468" s="339" customFormat="1" ht="15"/>
    <row r="469" s="339" customFormat="1" ht="15"/>
    <row r="470" s="339" customFormat="1" ht="15"/>
    <row r="471" s="339" customFormat="1" ht="15"/>
    <row r="472" s="339" customFormat="1" ht="15"/>
    <row r="473" s="339" customFormat="1" ht="15"/>
    <row r="474" s="339" customFormat="1" ht="15"/>
    <row r="475" s="339" customFormat="1" ht="15"/>
    <row r="476" s="339" customFormat="1" ht="15"/>
    <row r="477" s="339" customFormat="1" ht="15"/>
    <row r="478" s="339" customFormat="1" ht="15"/>
    <row r="479" s="339" customFormat="1" ht="15"/>
    <row r="480" s="339" customFormat="1" ht="15"/>
    <row r="481" s="339" customFormat="1" ht="15"/>
    <row r="482" s="339" customFormat="1" ht="15"/>
    <row r="483" s="339" customFormat="1" ht="15"/>
    <row r="484" s="339" customFormat="1" ht="15"/>
    <row r="485" s="339" customFormat="1" ht="15"/>
    <row r="486" s="339" customFormat="1" ht="15"/>
    <row r="487" s="339" customFormat="1" ht="15"/>
    <row r="488" s="339" customFormat="1" ht="15"/>
    <row r="489" s="339" customFormat="1" ht="15"/>
    <row r="490" s="339" customFormat="1" ht="15"/>
    <row r="491" s="339" customFormat="1" ht="15"/>
    <row r="492" s="339" customFormat="1" ht="15"/>
    <row r="493" s="339" customFormat="1" ht="15"/>
    <row r="494" s="339" customFormat="1" ht="15"/>
    <row r="495" s="339" customFormat="1" ht="15"/>
    <row r="496" s="339" customFormat="1" ht="15"/>
    <row r="497" s="339" customFormat="1" ht="15"/>
    <row r="498" s="339" customFormat="1" ht="15"/>
    <row r="499" s="339" customFormat="1" ht="15"/>
    <row r="500" s="339" customFormat="1" ht="15"/>
    <row r="501" s="339" customFormat="1" ht="15"/>
    <row r="502" s="339" customFormat="1" ht="15"/>
    <row r="503" s="339" customFormat="1" ht="15"/>
    <row r="504" s="339" customFormat="1" ht="15"/>
    <row r="505" s="339" customFormat="1" ht="15"/>
    <row r="506" s="339" customFormat="1" ht="15"/>
    <row r="507" s="339" customFormat="1" ht="15"/>
    <row r="508" s="339" customFormat="1" ht="15"/>
    <row r="509" s="339" customFormat="1" ht="15"/>
    <row r="510" s="339" customFormat="1" ht="15"/>
    <row r="511" s="339" customFormat="1" ht="15"/>
    <row r="512" s="339" customFormat="1" ht="15"/>
    <row r="513" s="339" customFormat="1" ht="15"/>
    <row r="514" s="339" customFormat="1" ht="15"/>
    <row r="515" s="339" customFormat="1" ht="15"/>
    <row r="516" s="339" customFormat="1" ht="15"/>
    <row r="517" s="339" customFormat="1" ht="15"/>
    <row r="518" s="339" customFormat="1" ht="15"/>
    <row r="519" s="339" customFormat="1" ht="15"/>
    <row r="520" s="339" customFormat="1" ht="15"/>
    <row r="521" s="339" customFormat="1" ht="15"/>
    <row r="522" s="339" customFormat="1" ht="15"/>
    <row r="523" s="339" customFormat="1" ht="15"/>
    <row r="524" s="339" customFormat="1" ht="15"/>
    <row r="525" s="339" customFormat="1" ht="15"/>
    <row r="526" s="339" customFormat="1" ht="15"/>
    <row r="527" s="339" customFormat="1" ht="15"/>
    <row r="528" s="339" customFormat="1" ht="15"/>
    <row r="529" s="339" customFormat="1" ht="15"/>
    <row r="530" s="339" customFormat="1" ht="15"/>
    <row r="531" s="339" customFormat="1" ht="15"/>
    <row r="532" s="339" customFormat="1" ht="15"/>
    <row r="533" s="339" customFormat="1" ht="15"/>
    <row r="534" s="339" customFormat="1" ht="15"/>
    <row r="535" s="339" customFormat="1" ht="15"/>
    <row r="536" s="339" customFormat="1" ht="15"/>
    <row r="537" s="339" customFormat="1" ht="15"/>
    <row r="538" s="339" customFormat="1" ht="15"/>
    <row r="539" s="339" customFormat="1" ht="15"/>
    <row r="540" s="339" customFormat="1" ht="15"/>
    <row r="541" s="339" customFormat="1" ht="15"/>
    <row r="542" s="339" customFormat="1" ht="15"/>
    <row r="543" s="339" customFormat="1" ht="15"/>
    <row r="544" s="339" customFormat="1" ht="15"/>
    <row r="545" s="339" customFormat="1" ht="15"/>
    <row r="546" s="339" customFormat="1" ht="15"/>
    <row r="547" s="339" customFormat="1" ht="15"/>
    <row r="548" s="339" customFormat="1" ht="15"/>
    <row r="549" s="339" customFormat="1" ht="15"/>
    <row r="550" s="339" customFormat="1" ht="15"/>
    <row r="551" s="339" customFormat="1" ht="15"/>
    <row r="552" s="339" customFormat="1" ht="15"/>
    <row r="553" s="339" customFormat="1" ht="15"/>
    <row r="554" s="339" customFormat="1" ht="15"/>
    <row r="555" s="339" customFormat="1" ht="15"/>
    <row r="556" s="339" customFormat="1" ht="15"/>
    <row r="557" s="339" customFormat="1" ht="15"/>
    <row r="558" s="339" customFormat="1" ht="15"/>
    <row r="559" s="339" customFormat="1" ht="15"/>
    <row r="560" s="339" customFormat="1" ht="15"/>
    <row r="561" s="339" customFormat="1" ht="15"/>
    <row r="562" s="339" customFormat="1" ht="15"/>
    <row r="563" s="339" customFormat="1" ht="15"/>
    <row r="564" s="339" customFormat="1" ht="15"/>
    <row r="565" s="339" customFormat="1" ht="15"/>
    <row r="566" s="339" customFormat="1" ht="15"/>
    <row r="567" s="339" customFormat="1" ht="15"/>
    <row r="568" s="339" customFormat="1" ht="15"/>
    <row r="569" s="339" customFormat="1" ht="15"/>
    <row r="570" s="339" customFormat="1" ht="15"/>
    <row r="571" s="339" customFormat="1" ht="15"/>
    <row r="572" s="339" customFormat="1" ht="15"/>
    <row r="573" s="339" customFormat="1" ht="15"/>
    <row r="574" s="339" customFormat="1" ht="15"/>
    <row r="575" s="339" customFormat="1" ht="15"/>
    <row r="576" s="339" customFormat="1" ht="15"/>
    <row r="577" s="339" customFormat="1" ht="15"/>
    <row r="578" s="339" customFormat="1" ht="15"/>
    <row r="579" s="339" customFormat="1" ht="15"/>
    <row r="580" s="339" customFormat="1" ht="15"/>
    <row r="581" s="339" customFormat="1" ht="15"/>
    <row r="582" s="339" customFormat="1" ht="15"/>
    <row r="583" s="339" customFormat="1" ht="15"/>
    <row r="584" s="339" customFormat="1" ht="15"/>
    <row r="585" s="339" customFormat="1" ht="15"/>
    <row r="586" s="339" customFormat="1" ht="15"/>
    <row r="587" s="339" customFormat="1" ht="15"/>
    <row r="588" s="339" customFormat="1" ht="15"/>
    <row r="589" s="339" customFormat="1" ht="15"/>
    <row r="590" s="339" customFormat="1" ht="15"/>
    <row r="591" s="339" customFormat="1" ht="15"/>
    <row r="592" s="339" customFormat="1" ht="15"/>
    <row r="593" s="339" customFormat="1" ht="15"/>
    <row r="594" s="339" customFormat="1" ht="15"/>
    <row r="595" s="339" customFormat="1" ht="15"/>
    <row r="596" s="339" customFormat="1" ht="15"/>
    <row r="597" s="339" customFormat="1" ht="15"/>
    <row r="598" s="339" customFormat="1" ht="15"/>
    <row r="599" s="339" customFormat="1" ht="15"/>
    <row r="600" s="339" customFormat="1" ht="15"/>
    <row r="601" s="339" customFormat="1" ht="15"/>
    <row r="602" s="339" customFormat="1" ht="15"/>
    <row r="603" s="339" customFormat="1" ht="15"/>
    <row r="604" s="339" customFormat="1" ht="15"/>
    <row r="605" s="339" customFormat="1" ht="15"/>
    <row r="606" s="339" customFormat="1" ht="15"/>
    <row r="607" s="339" customFormat="1" ht="15"/>
    <row r="608" s="339" customFormat="1" ht="15"/>
    <row r="609" s="339" customFormat="1" ht="15"/>
    <row r="610" s="339" customFormat="1" ht="15"/>
    <row r="611" s="339" customFormat="1" ht="15"/>
    <row r="612" s="339" customFormat="1" ht="15"/>
    <row r="613" s="339" customFormat="1" ht="15"/>
    <row r="614" s="339" customFormat="1" ht="15"/>
    <row r="615" s="339" customFormat="1" ht="15"/>
    <row r="616" s="339" customFormat="1" ht="15"/>
    <row r="617" s="339" customFormat="1" ht="15"/>
    <row r="618" s="339" customFormat="1" ht="15"/>
    <row r="619" s="339" customFormat="1" ht="15"/>
    <row r="620" s="339" customFormat="1" ht="15"/>
    <row r="621" s="339" customFormat="1" ht="15"/>
    <row r="622" s="339" customFormat="1" ht="15"/>
    <row r="623" s="339" customFormat="1" ht="15"/>
    <row r="624" s="339" customFormat="1" ht="15"/>
    <row r="625" s="339" customFormat="1" ht="15"/>
    <row r="626" s="339" customFormat="1" ht="15"/>
    <row r="627" s="339" customFormat="1" ht="15"/>
    <row r="628" s="339" customFormat="1" ht="15"/>
    <row r="629" s="339" customFormat="1" ht="15"/>
    <row r="630" s="339" customFormat="1" ht="15"/>
    <row r="631" s="339" customFormat="1" ht="15"/>
    <row r="632" s="339" customFormat="1" ht="15"/>
    <row r="633" s="339" customFormat="1" ht="15"/>
    <row r="634" s="339" customFormat="1" ht="15"/>
  </sheetData>
  <sheetProtection password="E69A" sheet="1" objects="1" scenarios="1" selectLockedCells="1"/>
  <mergeCells count="73">
    <mergeCell ref="F6:G6"/>
    <mergeCell ref="H6:I6"/>
    <mergeCell ref="H12:K12"/>
    <mergeCell ref="R5:AB5"/>
    <mergeCell ref="X8:AB8"/>
    <mergeCell ref="X12:AB12"/>
    <mergeCell ref="R12:T12"/>
    <mergeCell ref="Y6:AB6"/>
    <mergeCell ref="X10:AB10"/>
    <mergeCell ref="B19:C19"/>
    <mergeCell ref="D19:F19"/>
    <mergeCell ref="N2:P19"/>
    <mergeCell ref="G19:H19"/>
    <mergeCell ref="I19:J19"/>
    <mergeCell ref="F7:H7"/>
    <mergeCell ref="F8:H8"/>
    <mergeCell ref="D9:E9"/>
    <mergeCell ref="J10:M10"/>
    <mergeCell ref="M13:M14"/>
    <mergeCell ref="W14:AB14"/>
    <mergeCell ref="AD121:AG122"/>
    <mergeCell ref="F10:G12"/>
    <mergeCell ref="I17:J17"/>
    <mergeCell ref="K17:L17"/>
    <mergeCell ref="J11:M11"/>
    <mergeCell ref="I14:J14"/>
    <mergeCell ref="I15:J15"/>
    <mergeCell ref="G17:H17"/>
    <mergeCell ref="L12:M12"/>
    <mergeCell ref="G14:H14"/>
    <mergeCell ref="G16:H16"/>
    <mergeCell ref="D13:F13"/>
    <mergeCell ref="E15:F15"/>
    <mergeCell ref="K16:L16"/>
    <mergeCell ref="I13:J13"/>
    <mergeCell ref="G15:H15"/>
    <mergeCell ref="G13:H13"/>
    <mergeCell ref="I16:J16"/>
    <mergeCell ref="B18:C18"/>
    <mergeCell ref="D18:F18"/>
    <mergeCell ref="B16:C16"/>
    <mergeCell ref="D16:F16"/>
    <mergeCell ref="B13:C13"/>
    <mergeCell ref="B12:C12"/>
    <mergeCell ref="B15:C15"/>
    <mergeCell ref="B17:C17"/>
    <mergeCell ref="D17:F17"/>
    <mergeCell ref="G5:H5"/>
    <mergeCell ref="B2:M2"/>
    <mergeCell ref="E3:F3"/>
    <mergeCell ref="B3:C3"/>
    <mergeCell ref="B4:C4"/>
    <mergeCell ref="G4:H4"/>
    <mergeCell ref="D8:E8"/>
    <mergeCell ref="B8:C8"/>
    <mergeCell ref="B10:C10"/>
    <mergeCell ref="B9:C9"/>
    <mergeCell ref="B14:C14"/>
    <mergeCell ref="D14:F14"/>
    <mergeCell ref="B11:C11"/>
    <mergeCell ref="F9:I9"/>
    <mergeCell ref="H10:I10"/>
    <mergeCell ref="H11:I11"/>
    <mergeCell ref="F1:K1"/>
    <mergeCell ref="J3:L8"/>
    <mergeCell ref="J9:M9"/>
    <mergeCell ref="G3:H3"/>
    <mergeCell ref="B20:P20"/>
    <mergeCell ref="D6:E6"/>
    <mergeCell ref="D7:E7"/>
    <mergeCell ref="B7:C7"/>
    <mergeCell ref="B6:C6"/>
    <mergeCell ref="B5:C5"/>
  </mergeCells>
  <dataValidations count="1">
    <dataValidation allowBlank="1" showInputMessage="1" showErrorMessage="1" sqref="M13"/>
  </dataValidations>
  <hyperlinks>
    <hyperlink ref="F1" r:id="rId1" display="www.kurnoolbadi.in"/>
    <hyperlink ref="F9" r:id="rId2" display="www.kurnoolbadi.in"/>
  </hyperlinks>
  <printOptions/>
  <pageMargins left="0.7" right="0.7" top="0.75" bottom="0.75" header="0.3" footer="0.3"/>
  <pageSetup horizontalDpi="300" verticalDpi="300" orientation="portrait" r:id="rId6"/>
  <ignoredErrors>
    <ignoredError sqref="BI127 AU127 AZ127" formula="1"/>
    <ignoredError sqref="D16 I17 M16" numberStoredAsText="1"/>
  </ignoredErrors>
  <drawing r:id="rId5"/>
  <legacyDrawing r:id="rId4"/>
</worksheet>
</file>

<file path=xl/worksheets/sheet10.xml><?xml version="1.0" encoding="utf-8"?>
<worksheet xmlns="http://schemas.openxmlformats.org/spreadsheetml/2006/main" xmlns:r="http://schemas.openxmlformats.org/officeDocument/2006/relationships">
  <sheetPr>
    <tabColor rgb="FFFF0000"/>
  </sheetPr>
  <dimension ref="A2:EB51"/>
  <sheetViews>
    <sheetView showGridLines="0" showRowColHeaders="0" zoomScalePageLayoutView="0" workbookViewId="0" topLeftCell="A1">
      <selection activeCell="K3" sqref="K3"/>
    </sheetView>
  </sheetViews>
  <sheetFormatPr defaultColWidth="9.140625" defaultRowHeight="15"/>
  <cols>
    <col min="1" max="1" width="4.421875" style="306" customWidth="1"/>
    <col min="2" max="2" width="5.00390625" style="0" customWidth="1"/>
    <col min="3" max="3" width="10.7109375" style="0" customWidth="1"/>
    <col min="4" max="4" width="16.28125" style="0" customWidth="1"/>
    <col min="5" max="5" width="21.28125" style="0" customWidth="1"/>
    <col min="6" max="6" width="10.57421875" style="0" customWidth="1"/>
    <col min="7" max="7" width="7.7109375" style="0" customWidth="1"/>
    <col min="8" max="8" width="8.57421875" style="0" customWidth="1"/>
    <col min="9" max="9" width="12.140625" style="0" customWidth="1"/>
    <col min="10" max="132" width="9.140625" style="306" customWidth="1"/>
  </cols>
  <sheetData>
    <row r="1" s="306" customFormat="1" ht="15"/>
    <row r="2" spans="2:9" ht="15.75" customHeight="1">
      <c r="B2" s="849" t="str">
        <f>CONCATENATE(" Statement Showing the CPS Recovery Schedule of  ",DATA!T131," ",DATA!E3,", ",DATA!V121,", ",DATA!D8,", ",DATA!D9," ( Mandal )",DATA!L15," ( Dt. )")</f>
        <v> Statement Showing the CPS Recovery Schedule of  Sri. K.Chandra sekhar, Sr.Asst., Jonnagiri, Tuggali ( Mandal )Kurnool ( Dt. )</v>
      </c>
      <c r="C2" s="849"/>
      <c r="D2" s="849"/>
      <c r="E2" s="849"/>
      <c r="F2" s="849"/>
      <c r="G2" s="849"/>
      <c r="H2" s="849"/>
      <c r="I2" s="849"/>
    </row>
    <row r="3" spans="1:132" s="1" customFormat="1" ht="27.75" customHeight="1">
      <c r="A3" s="306"/>
      <c r="B3" s="849"/>
      <c r="C3" s="849"/>
      <c r="D3" s="849"/>
      <c r="E3" s="849"/>
      <c r="F3" s="849"/>
      <c r="G3" s="849"/>
      <c r="H3" s="849"/>
      <c r="I3" s="849"/>
      <c r="J3" s="306"/>
      <c r="K3" s="328"/>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306"/>
      <c r="AO3" s="306"/>
      <c r="AP3" s="306"/>
      <c r="AQ3" s="306"/>
      <c r="AR3" s="306"/>
      <c r="AS3" s="306"/>
      <c r="AT3" s="306"/>
      <c r="AU3" s="306"/>
      <c r="AV3" s="306"/>
      <c r="AW3" s="306"/>
      <c r="AX3" s="306"/>
      <c r="AY3" s="306"/>
      <c r="AZ3" s="306"/>
      <c r="BA3" s="306"/>
      <c r="BB3" s="306"/>
      <c r="BC3" s="306"/>
      <c r="BD3" s="306"/>
      <c r="BE3" s="306"/>
      <c r="BF3" s="306"/>
      <c r="BG3" s="306"/>
      <c r="BH3" s="306"/>
      <c r="BI3" s="306"/>
      <c r="BJ3" s="306"/>
      <c r="BK3" s="306"/>
      <c r="BL3" s="306"/>
      <c r="BM3" s="306"/>
      <c r="BN3" s="306"/>
      <c r="BO3" s="306"/>
      <c r="BP3" s="306"/>
      <c r="BQ3" s="306"/>
      <c r="BR3" s="306"/>
      <c r="BS3" s="306"/>
      <c r="BT3" s="306"/>
      <c r="BU3" s="306"/>
      <c r="BV3" s="306"/>
      <c r="BW3" s="306"/>
      <c r="BX3" s="306"/>
      <c r="BY3" s="306"/>
      <c r="BZ3" s="306"/>
      <c r="CA3" s="306"/>
      <c r="CB3" s="306"/>
      <c r="CC3" s="306"/>
      <c r="CD3" s="306"/>
      <c r="CE3" s="306"/>
      <c r="CF3" s="306"/>
      <c r="CG3" s="306"/>
      <c r="CH3" s="306"/>
      <c r="CI3" s="306"/>
      <c r="CJ3" s="306"/>
      <c r="CK3" s="306"/>
      <c r="CL3" s="306"/>
      <c r="CM3" s="306"/>
      <c r="CN3" s="306"/>
      <c r="CO3" s="306"/>
      <c r="CP3" s="306"/>
      <c r="CQ3" s="306"/>
      <c r="CR3" s="306"/>
      <c r="CS3" s="306"/>
      <c r="CT3" s="306"/>
      <c r="CU3" s="306"/>
      <c r="CV3" s="306"/>
      <c r="CW3" s="306"/>
      <c r="CX3" s="306"/>
      <c r="CY3" s="306"/>
      <c r="CZ3" s="306"/>
      <c r="DA3" s="306"/>
      <c r="DB3" s="306"/>
      <c r="DC3" s="306"/>
      <c r="DD3" s="306"/>
      <c r="DE3" s="306"/>
      <c r="DF3" s="306"/>
      <c r="DG3" s="306"/>
      <c r="DH3" s="306"/>
      <c r="DI3" s="306"/>
      <c r="DJ3" s="306"/>
      <c r="DK3" s="306"/>
      <c r="DL3" s="306"/>
      <c r="DM3" s="306"/>
      <c r="DN3" s="306"/>
      <c r="DO3" s="306"/>
      <c r="DP3" s="306"/>
      <c r="DQ3" s="306"/>
      <c r="DR3" s="306"/>
      <c r="DS3" s="306"/>
      <c r="DT3" s="306"/>
      <c r="DU3" s="306"/>
      <c r="DV3" s="306"/>
      <c r="DW3" s="306"/>
      <c r="DX3" s="306"/>
      <c r="DY3" s="306"/>
      <c r="DZ3" s="306"/>
      <c r="EA3" s="306"/>
      <c r="EB3" s="306"/>
    </row>
    <row r="4" spans="2:9" ht="15">
      <c r="B4" s="857" t="s">
        <v>483</v>
      </c>
      <c r="C4" s="857"/>
      <c r="D4" s="857"/>
      <c r="E4" s="857"/>
      <c r="F4" s="857"/>
      <c r="G4" s="857"/>
      <c r="H4" s="857"/>
      <c r="I4" s="857"/>
    </row>
    <row r="5" spans="2:9" ht="11.25" customHeight="1">
      <c r="B5" s="851"/>
      <c r="C5" s="851"/>
      <c r="D5" s="851"/>
      <c r="E5" s="851"/>
      <c r="F5" s="851"/>
      <c r="G5" s="851"/>
      <c r="H5" s="851"/>
      <c r="I5" s="851"/>
    </row>
    <row r="6" spans="2:9" ht="15">
      <c r="B6" s="128" t="s">
        <v>488</v>
      </c>
      <c r="C6" s="128"/>
      <c r="D6" s="141" t="str">
        <f>DATA!M16</f>
        <v>0913</v>
      </c>
      <c r="E6" s="139"/>
      <c r="F6" s="128" t="s">
        <v>489</v>
      </c>
      <c r="G6" s="128" t="str">
        <f>'Annexure 1 &amp;2'!E31</f>
        <v>Sri.T.V.Sreeenivasulu,B.Sc. .,B.Ed..</v>
      </c>
      <c r="H6" s="137"/>
      <c r="I6" s="137"/>
    </row>
    <row r="7" spans="2:9" ht="18.75" customHeight="1">
      <c r="B7" s="329" t="s">
        <v>494</v>
      </c>
      <c r="C7" s="128"/>
      <c r="D7" s="330">
        <f>DATA!H6</f>
        <v>25879643254569</v>
      </c>
      <c r="E7" s="128"/>
      <c r="F7" s="329" t="s">
        <v>490</v>
      </c>
      <c r="G7" s="853" t="str">
        <f>DATA!D16</f>
        <v>09130308020</v>
      </c>
      <c r="H7" s="853"/>
      <c r="I7" s="137"/>
    </row>
    <row r="8" spans="2:9" ht="15">
      <c r="B8" s="128" t="s">
        <v>95</v>
      </c>
      <c r="C8" s="127"/>
      <c r="D8" s="855" t="s">
        <v>495</v>
      </c>
      <c r="E8" s="855"/>
      <c r="F8" s="127"/>
      <c r="G8" s="127"/>
      <c r="H8" s="129"/>
      <c r="I8" s="129"/>
    </row>
    <row r="9" spans="2:9" ht="15" customHeight="1">
      <c r="B9" s="131"/>
      <c r="C9" s="129"/>
      <c r="D9" s="132"/>
      <c r="E9" s="129"/>
      <c r="F9" s="131"/>
      <c r="G9" s="127"/>
      <c r="H9" s="127"/>
      <c r="I9" s="127"/>
    </row>
    <row r="10" spans="2:9" ht="15">
      <c r="B10" s="129"/>
      <c r="C10" s="133"/>
      <c r="D10" s="133"/>
      <c r="E10" s="129"/>
      <c r="F10" s="129"/>
      <c r="G10" s="129"/>
      <c r="H10" s="129"/>
      <c r="I10" s="129"/>
    </row>
    <row r="11" spans="2:9" ht="15">
      <c r="B11" s="852" t="s">
        <v>484</v>
      </c>
      <c r="C11" s="852" t="s">
        <v>485</v>
      </c>
      <c r="D11" s="852" t="s">
        <v>491</v>
      </c>
      <c r="E11" s="852" t="s">
        <v>234</v>
      </c>
      <c r="F11" s="852" t="s">
        <v>257</v>
      </c>
      <c r="G11" s="852" t="s">
        <v>377</v>
      </c>
      <c r="H11" s="852" t="s">
        <v>78</v>
      </c>
      <c r="I11" s="848" t="s">
        <v>487</v>
      </c>
    </row>
    <row r="12" spans="2:9" ht="15">
      <c r="B12" s="852"/>
      <c r="C12" s="852"/>
      <c r="D12" s="852"/>
      <c r="E12" s="852"/>
      <c r="F12" s="852"/>
      <c r="G12" s="852"/>
      <c r="H12" s="852"/>
      <c r="I12" s="848"/>
    </row>
    <row r="13" spans="2:9" ht="45.75" customHeight="1">
      <c r="B13" s="134">
        <v>1</v>
      </c>
      <c r="C13" s="134">
        <f>DATA!D13</f>
        <v>938023</v>
      </c>
      <c r="D13" s="135">
        <f>DATA!H6</f>
        <v>25879643254569</v>
      </c>
      <c r="E13" s="142" t="str">
        <f>CONCATENATE(DATA!T131," ",DATA!E3,", ",DATA!V121)</f>
        <v>Sri. K.Chandra sekhar, Sr.Asst.</v>
      </c>
      <c r="F13" s="134">
        <f>Bill!R12</f>
        <v>471</v>
      </c>
      <c r="G13" s="134">
        <f>Bill!S12</f>
        <v>299</v>
      </c>
      <c r="H13" s="134">
        <f>F13+G13</f>
        <v>770</v>
      </c>
      <c r="I13" s="134">
        <f>IF(Bill!W12=""," Nil ",Bill!W12)</f>
        <v>0</v>
      </c>
    </row>
    <row r="14" spans="2:9" ht="15">
      <c r="B14" s="130"/>
      <c r="C14" s="130"/>
      <c r="D14" s="130"/>
      <c r="E14" s="130"/>
      <c r="F14" s="130"/>
      <c r="G14" s="130"/>
      <c r="H14" s="130"/>
      <c r="I14" s="130"/>
    </row>
    <row r="15" spans="1:132" s="1" customFormat="1" ht="15">
      <c r="A15" s="306"/>
      <c r="B15" s="136" t="str">
        <f>IF(I13=" Nil ","",CONCATENATE("Rs. In words: ",DATA!AL154))</f>
        <v>Rs. In words: Zero</v>
      </c>
      <c r="C15" s="130"/>
      <c r="D15" s="130"/>
      <c r="E15" s="130"/>
      <c r="F15" s="130"/>
      <c r="G15" s="130"/>
      <c r="H15" s="130"/>
      <c r="I15" s="130"/>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306"/>
      <c r="AX15" s="306"/>
      <c r="AY15" s="306"/>
      <c r="AZ15" s="306"/>
      <c r="BA15" s="306"/>
      <c r="BB15" s="306"/>
      <c r="BC15" s="306"/>
      <c r="BD15" s="306"/>
      <c r="BE15" s="306"/>
      <c r="BF15" s="306"/>
      <c r="BG15" s="306"/>
      <c r="BH15" s="306"/>
      <c r="BI15" s="306"/>
      <c r="BJ15" s="306"/>
      <c r="BK15" s="306"/>
      <c r="BL15" s="306"/>
      <c r="BM15" s="306"/>
      <c r="BN15" s="306"/>
      <c r="BO15" s="306"/>
      <c r="BP15" s="306"/>
      <c r="BQ15" s="306"/>
      <c r="BR15" s="306"/>
      <c r="BS15" s="306"/>
      <c r="BT15" s="306"/>
      <c r="BU15" s="306"/>
      <c r="BV15" s="306"/>
      <c r="BW15" s="306"/>
      <c r="BX15" s="306"/>
      <c r="BY15" s="306"/>
      <c r="BZ15" s="306"/>
      <c r="CA15" s="306"/>
      <c r="CB15" s="306"/>
      <c r="CC15" s="306"/>
      <c r="CD15" s="306"/>
      <c r="CE15" s="306"/>
      <c r="CF15" s="306"/>
      <c r="CG15" s="306"/>
      <c r="CH15" s="306"/>
      <c r="CI15" s="306"/>
      <c r="CJ15" s="306"/>
      <c r="CK15" s="306"/>
      <c r="CL15" s="306"/>
      <c r="CM15" s="306"/>
      <c r="CN15" s="306"/>
      <c r="CO15" s="306"/>
      <c r="CP15" s="306"/>
      <c r="CQ15" s="306"/>
      <c r="CR15" s="306"/>
      <c r="CS15" s="306"/>
      <c r="CT15" s="306"/>
      <c r="CU15" s="306"/>
      <c r="CV15" s="306"/>
      <c r="CW15" s="306"/>
      <c r="CX15" s="306"/>
      <c r="CY15" s="306"/>
      <c r="CZ15" s="306"/>
      <c r="DA15" s="306"/>
      <c r="DB15" s="306"/>
      <c r="DC15" s="306"/>
      <c r="DD15" s="306"/>
      <c r="DE15" s="306"/>
      <c r="DF15" s="306"/>
      <c r="DG15" s="306"/>
      <c r="DH15" s="306"/>
      <c r="DI15" s="306"/>
      <c r="DJ15" s="306"/>
      <c r="DK15" s="306"/>
      <c r="DL15" s="306"/>
      <c r="DM15" s="306"/>
      <c r="DN15" s="306"/>
      <c r="DO15" s="306"/>
      <c r="DP15" s="306"/>
      <c r="DQ15" s="306"/>
      <c r="DR15" s="306"/>
      <c r="DS15" s="306"/>
      <c r="DT15" s="306"/>
      <c r="DU15" s="306"/>
      <c r="DV15" s="306"/>
      <c r="DW15" s="306"/>
      <c r="DX15" s="306"/>
      <c r="DY15" s="306"/>
      <c r="DZ15" s="306"/>
      <c r="EA15" s="306"/>
      <c r="EB15" s="306"/>
    </row>
    <row r="16" spans="1:132" s="1" customFormat="1" ht="15">
      <c r="A16" s="306"/>
      <c r="B16" s="136"/>
      <c r="C16" s="130"/>
      <c r="D16" s="130"/>
      <c r="E16" s="130"/>
      <c r="F16" s="130"/>
      <c r="G16" s="130"/>
      <c r="H16" s="130"/>
      <c r="I16" s="130"/>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06"/>
      <c r="AS16" s="306"/>
      <c r="AT16" s="306"/>
      <c r="AU16" s="306"/>
      <c r="AV16" s="306"/>
      <c r="AW16" s="306"/>
      <c r="AX16" s="306"/>
      <c r="AY16" s="306"/>
      <c r="AZ16" s="306"/>
      <c r="BA16" s="306"/>
      <c r="BB16" s="306"/>
      <c r="BC16" s="306"/>
      <c r="BD16" s="306"/>
      <c r="BE16" s="306"/>
      <c r="BF16" s="306"/>
      <c r="BG16" s="306"/>
      <c r="BH16" s="306"/>
      <c r="BI16" s="306"/>
      <c r="BJ16" s="306"/>
      <c r="BK16" s="306"/>
      <c r="BL16" s="306"/>
      <c r="BM16" s="306"/>
      <c r="BN16" s="306"/>
      <c r="BO16" s="306"/>
      <c r="BP16" s="306"/>
      <c r="BQ16" s="306"/>
      <c r="BR16" s="306"/>
      <c r="BS16" s="306"/>
      <c r="BT16" s="306"/>
      <c r="BU16" s="306"/>
      <c r="BV16" s="306"/>
      <c r="BW16" s="306"/>
      <c r="BX16" s="306"/>
      <c r="BY16" s="306"/>
      <c r="BZ16" s="306"/>
      <c r="CA16" s="306"/>
      <c r="CB16" s="306"/>
      <c r="CC16" s="306"/>
      <c r="CD16" s="306"/>
      <c r="CE16" s="306"/>
      <c r="CF16" s="306"/>
      <c r="CG16" s="306"/>
      <c r="CH16" s="306"/>
      <c r="CI16" s="306"/>
      <c r="CJ16" s="306"/>
      <c r="CK16" s="306"/>
      <c r="CL16" s="306"/>
      <c r="CM16" s="306"/>
      <c r="CN16" s="306"/>
      <c r="CO16" s="306"/>
      <c r="CP16" s="306"/>
      <c r="CQ16" s="306"/>
      <c r="CR16" s="306"/>
      <c r="CS16" s="306"/>
      <c r="CT16" s="306"/>
      <c r="CU16" s="306"/>
      <c r="CV16" s="306"/>
      <c r="CW16" s="306"/>
      <c r="CX16" s="306"/>
      <c r="CY16" s="306"/>
      <c r="CZ16" s="306"/>
      <c r="DA16" s="306"/>
      <c r="DB16" s="306"/>
      <c r="DC16" s="306"/>
      <c r="DD16" s="306"/>
      <c r="DE16" s="306"/>
      <c r="DF16" s="306"/>
      <c r="DG16" s="306"/>
      <c r="DH16" s="306"/>
      <c r="DI16" s="306"/>
      <c r="DJ16" s="306"/>
      <c r="DK16" s="306"/>
      <c r="DL16" s="306"/>
      <c r="DM16" s="306"/>
      <c r="DN16" s="306"/>
      <c r="DO16" s="306"/>
      <c r="DP16" s="306"/>
      <c r="DQ16" s="306"/>
      <c r="DR16" s="306"/>
      <c r="DS16" s="306"/>
      <c r="DT16" s="306"/>
      <c r="DU16" s="306"/>
      <c r="DV16" s="306"/>
      <c r="DW16" s="306"/>
      <c r="DX16" s="306"/>
      <c r="DY16" s="306"/>
      <c r="DZ16" s="306"/>
      <c r="EA16" s="306"/>
      <c r="EB16" s="306"/>
    </row>
    <row r="17" spans="1:132" s="1" customFormat="1" ht="15">
      <c r="A17" s="306"/>
      <c r="B17" s="136"/>
      <c r="C17" s="130"/>
      <c r="D17" s="130"/>
      <c r="E17" s="130"/>
      <c r="F17" s="130"/>
      <c r="G17" s="130"/>
      <c r="H17" s="130"/>
      <c r="I17" s="130"/>
      <c r="J17" s="306"/>
      <c r="K17" s="306"/>
      <c r="L17" s="306"/>
      <c r="M17" s="306"/>
      <c r="N17" s="306"/>
      <c r="O17" s="306"/>
      <c r="P17" s="306"/>
      <c r="Q17" s="306"/>
      <c r="R17" s="306"/>
      <c r="S17" s="306"/>
      <c r="T17" s="306"/>
      <c r="U17" s="306"/>
      <c r="V17" s="306"/>
      <c r="W17" s="306"/>
      <c r="X17" s="306"/>
      <c r="Y17" s="306"/>
      <c r="Z17" s="306"/>
      <c r="AA17" s="306"/>
      <c r="AB17" s="306"/>
      <c r="AC17" s="306"/>
      <c r="AD17" s="306"/>
      <c r="AE17" s="306"/>
      <c r="AF17" s="306"/>
      <c r="AG17" s="306"/>
      <c r="AH17" s="306"/>
      <c r="AI17" s="306"/>
      <c r="AJ17" s="306"/>
      <c r="AK17" s="306"/>
      <c r="AL17" s="306"/>
      <c r="AM17" s="306"/>
      <c r="AN17" s="306"/>
      <c r="AO17" s="306"/>
      <c r="AP17" s="306"/>
      <c r="AQ17" s="306"/>
      <c r="AR17" s="306"/>
      <c r="AS17" s="306"/>
      <c r="AT17" s="306"/>
      <c r="AU17" s="306"/>
      <c r="AV17" s="306"/>
      <c r="AW17" s="306"/>
      <c r="AX17" s="306"/>
      <c r="AY17" s="306"/>
      <c r="AZ17" s="306"/>
      <c r="BA17" s="306"/>
      <c r="BB17" s="306"/>
      <c r="BC17" s="306"/>
      <c r="BD17" s="306"/>
      <c r="BE17" s="306"/>
      <c r="BF17" s="306"/>
      <c r="BG17" s="306"/>
      <c r="BH17" s="306"/>
      <c r="BI17" s="306"/>
      <c r="BJ17" s="306"/>
      <c r="BK17" s="306"/>
      <c r="BL17" s="306"/>
      <c r="BM17" s="306"/>
      <c r="BN17" s="306"/>
      <c r="BO17" s="306"/>
      <c r="BP17" s="306"/>
      <c r="BQ17" s="306"/>
      <c r="BR17" s="306"/>
      <c r="BS17" s="306"/>
      <c r="BT17" s="306"/>
      <c r="BU17" s="306"/>
      <c r="BV17" s="306"/>
      <c r="BW17" s="306"/>
      <c r="BX17" s="306"/>
      <c r="BY17" s="306"/>
      <c r="BZ17" s="306"/>
      <c r="CA17" s="306"/>
      <c r="CB17" s="306"/>
      <c r="CC17" s="306"/>
      <c r="CD17" s="306"/>
      <c r="CE17" s="306"/>
      <c r="CF17" s="306"/>
      <c r="CG17" s="306"/>
      <c r="CH17" s="306"/>
      <c r="CI17" s="306"/>
      <c r="CJ17" s="306"/>
      <c r="CK17" s="306"/>
      <c r="CL17" s="306"/>
      <c r="CM17" s="306"/>
      <c r="CN17" s="306"/>
      <c r="CO17" s="306"/>
      <c r="CP17" s="306"/>
      <c r="CQ17" s="306"/>
      <c r="CR17" s="306"/>
      <c r="CS17" s="306"/>
      <c r="CT17" s="306"/>
      <c r="CU17" s="306"/>
      <c r="CV17" s="306"/>
      <c r="CW17" s="306"/>
      <c r="CX17" s="306"/>
      <c r="CY17" s="306"/>
      <c r="CZ17" s="306"/>
      <c r="DA17" s="306"/>
      <c r="DB17" s="306"/>
      <c r="DC17" s="306"/>
      <c r="DD17" s="306"/>
      <c r="DE17" s="306"/>
      <c r="DF17" s="306"/>
      <c r="DG17" s="306"/>
      <c r="DH17" s="306"/>
      <c r="DI17" s="306"/>
      <c r="DJ17" s="306"/>
      <c r="DK17" s="306"/>
      <c r="DL17" s="306"/>
      <c r="DM17" s="306"/>
      <c r="DN17" s="306"/>
      <c r="DO17" s="306"/>
      <c r="DP17" s="306"/>
      <c r="DQ17" s="306"/>
      <c r="DR17" s="306"/>
      <c r="DS17" s="306"/>
      <c r="DT17" s="306"/>
      <c r="DU17" s="306"/>
      <c r="DV17" s="306"/>
      <c r="DW17" s="306"/>
      <c r="DX17" s="306"/>
      <c r="DY17" s="306"/>
      <c r="DZ17" s="306"/>
      <c r="EA17" s="306"/>
      <c r="EB17" s="306"/>
    </row>
    <row r="18" spans="1:132" s="1" customFormat="1" ht="15">
      <c r="A18" s="306"/>
      <c r="B18" s="130"/>
      <c r="C18" s="130"/>
      <c r="D18" s="130"/>
      <c r="E18" s="130"/>
      <c r="F18" s="130"/>
      <c r="G18" s="130"/>
      <c r="H18" s="130"/>
      <c r="I18" s="130"/>
      <c r="J18" s="306"/>
      <c r="K18" s="306"/>
      <c r="L18" s="306"/>
      <c r="M18" s="306"/>
      <c r="N18" s="306"/>
      <c r="O18" s="306"/>
      <c r="P18" s="306"/>
      <c r="Q18" s="306"/>
      <c r="R18" s="306"/>
      <c r="S18" s="306"/>
      <c r="T18" s="306"/>
      <c r="U18" s="306"/>
      <c r="V18" s="306"/>
      <c r="W18" s="306"/>
      <c r="X18" s="306"/>
      <c r="Y18" s="306"/>
      <c r="Z18" s="306"/>
      <c r="AA18" s="306"/>
      <c r="AB18" s="306"/>
      <c r="AC18" s="306"/>
      <c r="AD18" s="306"/>
      <c r="AE18" s="306"/>
      <c r="AF18" s="306"/>
      <c r="AG18" s="306"/>
      <c r="AH18" s="306"/>
      <c r="AI18" s="306"/>
      <c r="AJ18" s="306"/>
      <c r="AK18" s="306"/>
      <c r="AL18" s="306"/>
      <c r="AM18" s="306"/>
      <c r="AN18" s="306"/>
      <c r="AO18" s="306"/>
      <c r="AP18" s="306"/>
      <c r="AQ18" s="306"/>
      <c r="AR18" s="306"/>
      <c r="AS18" s="306"/>
      <c r="AT18" s="306"/>
      <c r="AU18" s="306"/>
      <c r="AV18" s="306"/>
      <c r="AW18" s="306"/>
      <c r="AX18" s="306"/>
      <c r="AY18" s="306"/>
      <c r="AZ18" s="306"/>
      <c r="BA18" s="306"/>
      <c r="BB18" s="306"/>
      <c r="BC18" s="306"/>
      <c r="BD18" s="306"/>
      <c r="BE18" s="306"/>
      <c r="BF18" s="306"/>
      <c r="BG18" s="306"/>
      <c r="BH18" s="306"/>
      <c r="BI18" s="306"/>
      <c r="BJ18" s="306"/>
      <c r="BK18" s="306"/>
      <c r="BL18" s="306"/>
      <c r="BM18" s="306"/>
      <c r="BN18" s="306"/>
      <c r="BO18" s="306"/>
      <c r="BP18" s="306"/>
      <c r="BQ18" s="306"/>
      <c r="BR18" s="306"/>
      <c r="BS18" s="306"/>
      <c r="BT18" s="306"/>
      <c r="BU18" s="306"/>
      <c r="BV18" s="306"/>
      <c r="BW18" s="306"/>
      <c r="BX18" s="306"/>
      <c r="BY18" s="306"/>
      <c r="BZ18" s="306"/>
      <c r="CA18" s="306"/>
      <c r="CB18" s="306"/>
      <c r="CC18" s="306"/>
      <c r="CD18" s="306"/>
      <c r="CE18" s="306"/>
      <c r="CF18" s="306"/>
      <c r="CG18" s="306"/>
      <c r="CH18" s="306"/>
      <c r="CI18" s="306"/>
      <c r="CJ18" s="306"/>
      <c r="CK18" s="306"/>
      <c r="CL18" s="306"/>
      <c r="CM18" s="306"/>
      <c r="CN18" s="306"/>
      <c r="CO18" s="306"/>
      <c r="CP18" s="306"/>
      <c r="CQ18" s="306"/>
      <c r="CR18" s="306"/>
      <c r="CS18" s="306"/>
      <c r="CT18" s="306"/>
      <c r="CU18" s="306"/>
      <c r="CV18" s="306"/>
      <c r="CW18" s="306"/>
      <c r="CX18" s="306"/>
      <c r="CY18" s="306"/>
      <c r="CZ18" s="306"/>
      <c r="DA18" s="306"/>
      <c r="DB18" s="306"/>
      <c r="DC18" s="306"/>
      <c r="DD18" s="306"/>
      <c r="DE18" s="306"/>
      <c r="DF18" s="306"/>
      <c r="DG18" s="306"/>
      <c r="DH18" s="306"/>
      <c r="DI18" s="306"/>
      <c r="DJ18" s="306"/>
      <c r="DK18" s="306"/>
      <c r="DL18" s="306"/>
      <c r="DM18" s="306"/>
      <c r="DN18" s="306"/>
      <c r="DO18" s="306"/>
      <c r="DP18" s="306"/>
      <c r="DQ18" s="306"/>
      <c r="DR18" s="306"/>
      <c r="DS18" s="306"/>
      <c r="DT18" s="306"/>
      <c r="DU18" s="306"/>
      <c r="DV18" s="306"/>
      <c r="DW18" s="306"/>
      <c r="DX18" s="306"/>
      <c r="DY18" s="306"/>
      <c r="DZ18" s="306"/>
      <c r="EA18" s="306"/>
      <c r="EB18" s="306"/>
    </row>
    <row r="19" spans="2:9" ht="15">
      <c r="B19" s="130"/>
      <c r="C19" s="130"/>
      <c r="D19" s="130"/>
      <c r="E19" s="130"/>
      <c r="F19" s="136" t="s">
        <v>202</v>
      </c>
      <c r="G19" s="130"/>
      <c r="H19" s="130"/>
      <c r="I19" s="130"/>
    </row>
    <row r="20" spans="2:9" ht="15">
      <c r="B20" s="130"/>
      <c r="C20" s="130"/>
      <c r="D20" s="130"/>
      <c r="E20" s="130"/>
      <c r="F20" s="130"/>
      <c r="G20" s="130"/>
      <c r="H20" s="130"/>
      <c r="I20" s="130"/>
    </row>
    <row r="21" spans="2:9" ht="15">
      <c r="B21" s="130"/>
      <c r="C21" s="130"/>
      <c r="D21" s="130"/>
      <c r="E21" s="130"/>
      <c r="F21" s="130"/>
      <c r="G21" s="130"/>
      <c r="H21" s="130"/>
      <c r="I21" s="130"/>
    </row>
    <row r="22" spans="2:9" ht="15">
      <c r="B22" s="130"/>
      <c r="C22" s="130"/>
      <c r="D22" s="130"/>
      <c r="E22" s="130"/>
      <c r="F22" s="130"/>
      <c r="G22" s="130"/>
      <c r="H22" s="130"/>
      <c r="I22" s="130"/>
    </row>
    <row r="23" spans="1:132" s="1" customFormat="1" ht="15">
      <c r="A23" s="306"/>
      <c r="B23" s="130"/>
      <c r="C23" s="130"/>
      <c r="D23" s="130"/>
      <c r="E23" s="130"/>
      <c r="F23" s="130"/>
      <c r="G23" s="130"/>
      <c r="H23" s="130"/>
      <c r="I23" s="130"/>
      <c r="J23" s="306"/>
      <c r="K23" s="306"/>
      <c r="L23" s="306"/>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AK23" s="306"/>
      <c r="AL23" s="306"/>
      <c r="AM23" s="306"/>
      <c r="AN23" s="306"/>
      <c r="AO23" s="306"/>
      <c r="AP23" s="306"/>
      <c r="AQ23" s="306"/>
      <c r="AR23" s="306"/>
      <c r="AS23" s="306"/>
      <c r="AT23" s="306"/>
      <c r="AU23" s="306"/>
      <c r="AV23" s="306"/>
      <c r="AW23" s="306"/>
      <c r="AX23" s="306"/>
      <c r="AY23" s="306"/>
      <c r="AZ23" s="306"/>
      <c r="BA23" s="306"/>
      <c r="BB23" s="306"/>
      <c r="BC23" s="306"/>
      <c r="BD23" s="306"/>
      <c r="BE23" s="306"/>
      <c r="BF23" s="306"/>
      <c r="BG23" s="306"/>
      <c r="BH23" s="306"/>
      <c r="BI23" s="306"/>
      <c r="BJ23" s="306"/>
      <c r="BK23" s="306"/>
      <c r="BL23" s="306"/>
      <c r="BM23" s="306"/>
      <c r="BN23" s="306"/>
      <c r="BO23" s="306"/>
      <c r="BP23" s="306"/>
      <c r="BQ23" s="306"/>
      <c r="BR23" s="306"/>
      <c r="BS23" s="306"/>
      <c r="BT23" s="306"/>
      <c r="BU23" s="306"/>
      <c r="BV23" s="306"/>
      <c r="BW23" s="306"/>
      <c r="BX23" s="306"/>
      <c r="BY23" s="306"/>
      <c r="BZ23" s="306"/>
      <c r="CA23" s="306"/>
      <c r="CB23" s="306"/>
      <c r="CC23" s="306"/>
      <c r="CD23" s="306"/>
      <c r="CE23" s="306"/>
      <c r="CF23" s="306"/>
      <c r="CG23" s="306"/>
      <c r="CH23" s="306"/>
      <c r="CI23" s="306"/>
      <c r="CJ23" s="306"/>
      <c r="CK23" s="306"/>
      <c r="CL23" s="306"/>
      <c r="CM23" s="306"/>
      <c r="CN23" s="306"/>
      <c r="CO23" s="306"/>
      <c r="CP23" s="306"/>
      <c r="CQ23" s="306"/>
      <c r="CR23" s="306"/>
      <c r="CS23" s="306"/>
      <c r="CT23" s="306"/>
      <c r="CU23" s="306"/>
      <c r="CV23" s="306"/>
      <c r="CW23" s="306"/>
      <c r="CX23" s="306"/>
      <c r="CY23" s="306"/>
      <c r="CZ23" s="306"/>
      <c r="DA23" s="306"/>
      <c r="DB23" s="306"/>
      <c r="DC23" s="306"/>
      <c r="DD23" s="306"/>
      <c r="DE23" s="306"/>
      <c r="DF23" s="306"/>
      <c r="DG23" s="306"/>
      <c r="DH23" s="306"/>
      <c r="DI23" s="306"/>
      <c r="DJ23" s="306"/>
      <c r="DK23" s="306"/>
      <c r="DL23" s="306"/>
      <c r="DM23" s="306"/>
      <c r="DN23" s="306"/>
      <c r="DO23" s="306"/>
      <c r="DP23" s="306"/>
      <c r="DQ23" s="306"/>
      <c r="DR23" s="306"/>
      <c r="DS23" s="306"/>
      <c r="DT23" s="306"/>
      <c r="DU23" s="306"/>
      <c r="DV23" s="306"/>
      <c r="DW23" s="306"/>
      <c r="DX23" s="306"/>
      <c r="DY23" s="306"/>
      <c r="DZ23" s="306"/>
      <c r="EA23" s="306"/>
      <c r="EB23" s="306"/>
    </row>
    <row r="24" spans="1:132" s="1" customFormat="1" ht="15">
      <c r="A24" s="306"/>
      <c r="B24" s="130"/>
      <c r="C24" s="130"/>
      <c r="D24" s="130"/>
      <c r="E24" s="130"/>
      <c r="F24" s="130"/>
      <c r="G24" s="130"/>
      <c r="H24" s="130"/>
      <c r="I24" s="130"/>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306"/>
      <c r="AO24" s="306"/>
      <c r="AP24" s="306"/>
      <c r="AQ24" s="306"/>
      <c r="AR24" s="306"/>
      <c r="AS24" s="306"/>
      <c r="AT24" s="306"/>
      <c r="AU24" s="306"/>
      <c r="AV24" s="306"/>
      <c r="AW24" s="306"/>
      <c r="AX24" s="306"/>
      <c r="AY24" s="306"/>
      <c r="AZ24" s="306"/>
      <c r="BA24" s="306"/>
      <c r="BB24" s="306"/>
      <c r="BC24" s="306"/>
      <c r="BD24" s="306"/>
      <c r="BE24" s="306"/>
      <c r="BF24" s="306"/>
      <c r="BG24" s="306"/>
      <c r="BH24" s="306"/>
      <c r="BI24" s="306"/>
      <c r="BJ24" s="306"/>
      <c r="BK24" s="306"/>
      <c r="BL24" s="306"/>
      <c r="BM24" s="306"/>
      <c r="BN24" s="306"/>
      <c r="BO24" s="306"/>
      <c r="BP24" s="306"/>
      <c r="BQ24" s="306"/>
      <c r="BR24" s="306"/>
      <c r="BS24" s="306"/>
      <c r="BT24" s="306"/>
      <c r="BU24" s="306"/>
      <c r="BV24" s="306"/>
      <c r="BW24" s="306"/>
      <c r="BX24" s="306"/>
      <c r="BY24" s="306"/>
      <c r="BZ24" s="306"/>
      <c r="CA24" s="306"/>
      <c r="CB24" s="306"/>
      <c r="CC24" s="306"/>
      <c r="CD24" s="306"/>
      <c r="CE24" s="306"/>
      <c r="CF24" s="306"/>
      <c r="CG24" s="306"/>
      <c r="CH24" s="306"/>
      <c r="CI24" s="306"/>
      <c r="CJ24" s="306"/>
      <c r="CK24" s="306"/>
      <c r="CL24" s="306"/>
      <c r="CM24" s="306"/>
      <c r="CN24" s="306"/>
      <c r="CO24" s="306"/>
      <c r="CP24" s="306"/>
      <c r="CQ24" s="306"/>
      <c r="CR24" s="306"/>
      <c r="CS24" s="306"/>
      <c r="CT24" s="306"/>
      <c r="CU24" s="306"/>
      <c r="CV24" s="306"/>
      <c r="CW24" s="306"/>
      <c r="CX24" s="306"/>
      <c r="CY24" s="306"/>
      <c r="CZ24" s="306"/>
      <c r="DA24" s="306"/>
      <c r="DB24" s="306"/>
      <c r="DC24" s="306"/>
      <c r="DD24" s="306"/>
      <c r="DE24" s="306"/>
      <c r="DF24" s="306"/>
      <c r="DG24" s="306"/>
      <c r="DH24" s="306"/>
      <c r="DI24" s="306"/>
      <c r="DJ24" s="306"/>
      <c r="DK24" s="306"/>
      <c r="DL24" s="306"/>
      <c r="DM24" s="306"/>
      <c r="DN24" s="306"/>
      <c r="DO24" s="306"/>
      <c r="DP24" s="306"/>
      <c r="DQ24" s="306"/>
      <c r="DR24" s="306"/>
      <c r="DS24" s="306"/>
      <c r="DT24" s="306"/>
      <c r="DU24" s="306"/>
      <c r="DV24" s="306"/>
      <c r="DW24" s="306"/>
      <c r="DX24" s="306"/>
      <c r="DY24" s="306"/>
      <c r="DZ24" s="306"/>
      <c r="EA24" s="306"/>
      <c r="EB24" s="306"/>
    </row>
    <row r="25" spans="2:9" ht="15">
      <c r="B25" s="5"/>
      <c r="C25" s="5"/>
      <c r="D25" s="5"/>
      <c r="E25" s="5"/>
      <c r="F25" s="5"/>
      <c r="G25" s="5"/>
      <c r="H25" s="5"/>
      <c r="I25" s="5"/>
    </row>
    <row r="26" spans="2:9" ht="18.75" customHeight="1">
      <c r="B26" s="849" t="str">
        <f>B2</f>
        <v> Statement Showing the CPS Recovery Schedule of  Sri. K.Chandra sekhar, Sr.Asst., Jonnagiri, Tuggali ( Mandal )Kurnool ( Dt. )</v>
      </c>
      <c r="C26" s="849"/>
      <c r="D26" s="849"/>
      <c r="E26" s="849"/>
      <c r="F26" s="849"/>
      <c r="G26" s="849"/>
      <c r="H26" s="849"/>
      <c r="I26" s="849"/>
    </row>
    <row r="27" spans="2:9" ht="24.75" customHeight="1">
      <c r="B27" s="849"/>
      <c r="C27" s="849"/>
      <c r="D27" s="849"/>
      <c r="E27" s="849"/>
      <c r="F27" s="849"/>
      <c r="G27" s="849"/>
      <c r="H27" s="849"/>
      <c r="I27" s="849"/>
    </row>
    <row r="28" spans="2:9" ht="15">
      <c r="B28" s="850" t="s">
        <v>483</v>
      </c>
      <c r="C28" s="850"/>
      <c r="D28" s="850"/>
      <c r="E28" s="850"/>
      <c r="F28" s="850"/>
      <c r="G28" s="850"/>
      <c r="H28" s="850"/>
      <c r="I28" s="850"/>
    </row>
    <row r="29" spans="2:9" ht="15">
      <c r="B29" s="851"/>
      <c r="C29" s="851"/>
      <c r="D29" s="851"/>
      <c r="E29" s="851"/>
      <c r="F29" s="851"/>
      <c r="G29" s="851"/>
      <c r="H29" s="851"/>
      <c r="I29" s="851"/>
    </row>
    <row r="30" spans="2:9" ht="15">
      <c r="B30" s="137" t="s">
        <v>488</v>
      </c>
      <c r="C30" s="128"/>
      <c r="D30" s="138" t="str">
        <f>D6</f>
        <v>0913</v>
      </c>
      <c r="E30" s="139"/>
      <c r="F30" s="128" t="s">
        <v>492</v>
      </c>
      <c r="G30" s="128" t="str">
        <f>G6</f>
        <v>Sri.T.V.Sreeenivasulu,B.Sc. .,B.Ed..</v>
      </c>
      <c r="H30" s="137"/>
      <c r="I30" s="137"/>
    </row>
    <row r="31" spans="2:9" ht="15">
      <c r="B31" s="128" t="s">
        <v>494</v>
      </c>
      <c r="C31" s="128"/>
      <c r="D31" s="140">
        <f>DATA!H6</f>
        <v>25879643254569</v>
      </c>
      <c r="E31" s="128"/>
      <c r="F31" s="128" t="s">
        <v>493</v>
      </c>
      <c r="G31" s="854" t="str">
        <f>G7</f>
        <v>09130308020</v>
      </c>
      <c r="H31" s="854"/>
      <c r="I31" s="137"/>
    </row>
    <row r="32" spans="2:9" ht="15">
      <c r="B32" s="128" t="s">
        <v>95</v>
      </c>
      <c r="C32" s="127"/>
      <c r="D32" s="856" t="str">
        <f>D8</f>
        <v>8342-00-117-00-04-001-000</v>
      </c>
      <c r="E32" s="856"/>
      <c r="F32" s="127"/>
      <c r="G32" s="127"/>
      <c r="H32" s="129"/>
      <c r="I32" s="129"/>
    </row>
    <row r="33" spans="2:9" ht="15">
      <c r="B33" s="131"/>
      <c r="C33" s="129"/>
      <c r="D33" s="132"/>
      <c r="E33" s="129"/>
      <c r="F33" s="131"/>
      <c r="G33" s="127"/>
      <c r="H33" s="127"/>
      <c r="I33" s="127"/>
    </row>
    <row r="34" spans="2:9" ht="15">
      <c r="B34" s="129"/>
      <c r="C34" s="133"/>
      <c r="D34" s="133"/>
      <c r="E34" s="129"/>
      <c r="F34" s="129"/>
      <c r="G34" s="129"/>
      <c r="H34" s="129"/>
      <c r="I34" s="129"/>
    </row>
    <row r="35" spans="2:9" ht="15">
      <c r="B35" s="852" t="s">
        <v>484</v>
      </c>
      <c r="C35" s="852" t="s">
        <v>485</v>
      </c>
      <c r="D35" s="852" t="s">
        <v>486</v>
      </c>
      <c r="E35" s="852" t="s">
        <v>234</v>
      </c>
      <c r="F35" s="852" t="s">
        <v>257</v>
      </c>
      <c r="G35" s="852" t="s">
        <v>377</v>
      </c>
      <c r="H35" s="852" t="s">
        <v>78</v>
      </c>
      <c r="I35" s="848" t="s">
        <v>487</v>
      </c>
    </row>
    <row r="36" spans="2:9" ht="15">
      <c r="B36" s="852"/>
      <c r="C36" s="852"/>
      <c r="D36" s="852"/>
      <c r="E36" s="852"/>
      <c r="F36" s="852"/>
      <c r="G36" s="852"/>
      <c r="H36" s="852"/>
      <c r="I36" s="848"/>
    </row>
    <row r="37" spans="2:9" ht="45" customHeight="1">
      <c r="B37" s="134">
        <v>1</v>
      </c>
      <c r="C37" s="134">
        <f aca="true" t="shared" si="0" ref="C37:I37">C13</f>
        <v>938023</v>
      </c>
      <c r="D37" s="135">
        <f t="shared" si="0"/>
        <v>25879643254569</v>
      </c>
      <c r="E37" s="142" t="str">
        <f t="shared" si="0"/>
        <v>Sri. K.Chandra sekhar, Sr.Asst.</v>
      </c>
      <c r="F37" s="134">
        <f t="shared" si="0"/>
        <v>471</v>
      </c>
      <c r="G37" s="134">
        <f t="shared" si="0"/>
        <v>299</v>
      </c>
      <c r="H37" s="134">
        <f t="shared" si="0"/>
        <v>770</v>
      </c>
      <c r="I37" s="134">
        <f t="shared" si="0"/>
        <v>0</v>
      </c>
    </row>
    <row r="38" spans="2:9" ht="15">
      <c r="B38" s="130"/>
      <c r="C38" s="130"/>
      <c r="D38" s="130"/>
      <c r="E38" s="130"/>
      <c r="F38" s="130"/>
      <c r="G38" s="130"/>
      <c r="H38" s="130"/>
      <c r="I38" s="130"/>
    </row>
    <row r="39" spans="1:132" s="1" customFormat="1" ht="15">
      <c r="A39" s="306"/>
      <c r="B39" s="136" t="str">
        <f>B15</f>
        <v>Rs. In words: Zero</v>
      </c>
      <c r="C39" s="130"/>
      <c r="D39" s="130"/>
      <c r="E39" s="130"/>
      <c r="F39" s="130"/>
      <c r="G39" s="130"/>
      <c r="H39" s="130"/>
      <c r="I39" s="130"/>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306"/>
      <c r="AV39" s="306"/>
      <c r="AW39" s="306"/>
      <c r="AX39" s="306"/>
      <c r="AY39" s="306"/>
      <c r="AZ39" s="306"/>
      <c r="BA39" s="306"/>
      <c r="BB39" s="306"/>
      <c r="BC39" s="306"/>
      <c r="BD39" s="306"/>
      <c r="BE39" s="306"/>
      <c r="BF39" s="306"/>
      <c r="BG39" s="306"/>
      <c r="BH39" s="306"/>
      <c r="BI39" s="306"/>
      <c r="BJ39" s="306"/>
      <c r="BK39" s="306"/>
      <c r="BL39" s="306"/>
      <c r="BM39" s="306"/>
      <c r="BN39" s="306"/>
      <c r="BO39" s="306"/>
      <c r="BP39" s="306"/>
      <c r="BQ39" s="306"/>
      <c r="BR39" s="306"/>
      <c r="BS39" s="306"/>
      <c r="BT39" s="306"/>
      <c r="BU39" s="306"/>
      <c r="BV39" s="306"/>
      <c r="BW39" s="306"/>
      <c r="BX39" s="306"/>
      <c r="BY39" s="306"/>
      <c r="BZ39" s="306"/>
      <c r="CA39" s="306"/>
      <c r="CB39" s="306"/>
      <c r="CC39" s="306"/>
      <c r="CD39" s="306"/>
      <c r="CE39" s="306"/>
      <c r="CF39" s="306"/>
      <c r="CG39" s="306"/>
      <c r="CH39" s="306"/>
      <c r="CI39" s="306"/>
      <c r="CJ39" s="306"/>
      <c r="CK39" s="306"/>
      <c r="CL39" s="306"/>
      <c r="CM39" s="306"/>
      <c r="CN39" s="306"/>
      <c r="CO39" s="306"/>
      <c r="CP39" s="306"/>
      <c r="CQ39" s="306"/>
      <c r="CR39" s="306"/>
      <c r="CS39" s="306"/>
      <c r="CT39" s="306"/>
      <c r="CU39" s="306"/>
      <c r="CV39" s="306"/>
      <c r="CW39" s="306"/>
      <c r="CX39" s="306"/>
      <c r="CY39" s="306"/>
      <c r="CZ39" s="306"/>
      <c r="DA39" s="306"/>
      <c r="DB39" s="306"/>
      <c r="DC39" s="306"/>
      <c r="DD39" s="306"/>
      <c r="DE39" s="306"/>
      <c r="DF39" s="306"/>
      <c r="DG39" s="306"/>
      <c r="DH39" s="306"/>
      <c r="DI39" s="306"/>
      <c r="DJ39" s="306"/>
      <c r="DK39" s="306"/>
      <c r="DL39" s="306"/>
      <c r="DM39" s="306"/>
      <c r="DN39" s="306"/>
      <c r="DO39" s="306"/>
      <c r="DP39" s="306"/>
      <c r="DQ39" s="306"/>
      <c r="DR39" s="306"/>
      <c r="DS39" s="306"/>
      <c r="DT39" s="306"/>
      <c r="DU39" s="306"/>
      <c r="DV39" s="306"/>
      <c r="DW39" s="306"/>
      <c r="DX39" s="306"/>
      <c r="DY39" s="306"/>
      <c r="DZ39" s="306"/>
      <c r="EA39" s="306"/>
      <c r="EB39" s="306"/>
    </row>
    <row r="40" spans="1:132" s="1" customFormat="1" ht="15">
      <c r="A40" s="306"/>
      <c r="B40" s="136"/>
      <c r="C40" s="130"/>
      <c r="D40" s="130"/>
      <c r="E40" s="130"/>
      <c r="F40" s="130"/>
      <c r="G40" s="130"/>
      <c r="H40" s="130"/>
      <c r="I40" s="130"/>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c r="AG40" s="306"/>
      <c r="AH40" s="306"/>
      <c r="AI40" s="306"/>
      <c r="AJ40" s="306"/>
      <c r="AK40" s="306"/>
      <c r="AL40" s="306"/>
      <c r="AM40" s="306"/>
      <c r="AN40" s="306"/>
      <c r="AO40" s="306"/>
      <c r="AP40" s="306"/>
      <c r="AQ40" s="306"/>
      <c r="AR40" s="306"/>
      <c r="AS40" s="306"/>
      <c r="AT40" s="306"/>
      <c r="AU40" s="306"/>
      <c r="AV40" s="306"/>
      <c r="AW40" s="306"/>
      <c r="AX40" s="306"/>
      <c r="AY40" s="306"/>
      <c r="AZ40" s="306"/>
      <c r="BA40" s="306"/>
      <c r="BB40" s="306"/>
      <c r="BC40" s="306"/>
      <c r="BD40" s="306"/>
      <c r="BE40" s="306"/>
      <c r="BF40" s="306"/>
      <c r="BG40" s="306"/>
      <c r="BH40" s="306"/>
      <c r="BI40" s="306"/>
      <c r="BJ40" s="306"/>
      <c r="BK40" s="306"/>
      <c r="BL40" s="306"/>
      <c r="BM40" s="306"/>
      <c r="BN40" s="306"/>
      <c r="BO40" s="306"/>
      <c r="BP40" s="306"/>
      <c r="BQ40" s="306"/>
      <c r="BR40" s="306"/>
      <c r="BS40" s="306"/>
      <c r="BT40" s="306"/>
      <c r="BU40" s="306"/>
      <c r="BV40" s="306"/>
      <c r="BW40" s="306"/>
      <c r="BX40" s="306"/>
      <c r="BY40" s="306"/>
      <c r="BZ40" s="306"/>
      <c r="CA40" s="306"/>
      <c r="CB40" s="306"/>
      <c r="CC40" s="306"/>
      <c r="CD40" s="306"/>
      <c r="CE40" s="306"/>
      <c r="CF40" s="306"/>
      <c r="CG40" s="306"/>
      <c r="CH40" s="306"/>
      <c r="CI40" s="306"/>
      <c r="CJ40" s="306"/>
      <c r="CK40" s="306"/>
      <c r="CL40" s="306"/>
      <c r="CM40" s="306"/>
      <c r="CN40" s="306"/>
      <c r="CO40" s="306"/>
      <c r="CP40" s="306"/>
      <c r="CQ40" s="306"/>
      <c r="CR40" s="306"/>
      <c r="CS40" s="306"/>
      <c r="CT40" s="306"/>
      <c r="CU40" s="306"/>
      <c r="CV40" s="306"/>
      <c r="CW40" s="306"/>
      <c r="CX40" s="306"/>
      <c r="CY40" s="306"/>
      <c r="CZ40" s="306"/>
      <c r="DA40" s="306"/>
      <c r="DB40" s="306"/>
      <c r="DC40" s="306"/>
      <c r="DD40" s="306"/>
      <c r="DE40" s="306"/>
      <c r="DF40" s="306"/>
      <c r="DG40" s="306"/>
      <c r="DH40" s="306"/>
      <c r="DI40" s="306"/>
      <c r="DJ40" s="306"/>
      <c r="DK40" s="306"/>
      <c r="DL40" s="306"/>
      <c r="DM40" s="306"/>
      <c r="DN40" s="306"/>
      <c r="DO40" s="306"/>
      <c r="DP40" s="306"/>
      <c r="DQ40" s="306"/>
      <c r="DR40" s="306"/>
      <c r="DS40" s="306"/>
      <c r="DT40" s="306"/>
      <c r="DU40" s="306"/>
      <c r="DV40" s="306"/>
      <c r="DW40" s="306"/>
      <c r="DX40" s="306"/>
      <c r="DY40" s="306"/>
      <c r="DZ40" s="306"/>
      <c r="EA40" s="306"/>
      <c r="EB40" s="306"/>
    </row>
    <row r="41" spans="1:132" s="1" customFormat="1" ht="15">
      <c r="A41" s="306"/>
      <c r="B41" s="136"/>
      <c r="C41" s="130"/>
      <c r="D41" s="130"/>
      <c r="E41" s="130"/>
      <c r="F41" s="130"/>
      <c r="G41" s="130"/>
      <c r="H41" s="130"/>
      <c r="I41" s="130"/>
      <c r="J41" s="306"/>
      <c r="K41" s="306"/>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06"/>
      <c r="AI41" s="306"/>
      <c r="AJ41" s="306"/>
      <c r="AK41" s="306"/>
      <c r="AL41" s="306"/>
      <c r="AM41" s="306"/>
      <c r="AN41" s="306"/>
      <c r="AO41" s="306"/>
      <c r="AP41" s="306"/>
      <c r="AQ41" s="306"/>
      <c r="AR41" s="306"/>
      <c r="AS41" s="306"/>
      <c r="AT41" s="306"/>
      <c r="AU41" s="306"/>
      <c r="AV41" s="306"/>
      <c r="AW41" s="306"/>
      <c r="AX41" s="306"/>
      <c r="AY41" s="306"/>
      <c r="AZ41" s="306"/>
      <c r="BA41" s="306"/>
      <c r="BB41" s="306"/>
      <c r="BC41" s="306"/>
      <c r="BD41" s="306"/>
      <c r="BE41" s="306"/>
      <c r="BF41" s="306"/>
      <c r="BG41" s="306"/>
      <c r="BH41" s="306"/>
      <c r="BI41" s="306"/>
      <c r="BJ41" s="306"/>
      <c r="BK41" s="306"/>
      <c r="BL41" s="306"/>
      <c r="BM41" s="306"/>
      <c r="BN41" s="306"/>
      <c r="BO41" s="306"/>
      <c r="BP41" s="306"/>
      <c r="BQ41" s="306"/>
      <c r="BR41" s="306"/>
      <c r="BS41" s="306"/>
      <c r="BT41" s="306"/>
      <c r="BU41" s="306"/>
      <c r="BV41" s="306"/>
      <c r="BW41" s="306"/>
      <c r="BX41" s="306"/>
      <c r="BY41" s="306"/>
      <c r="BZ41" s="306"/>
      <c r="CA41" s="306"/>
      <c r="CB41" s="306"/>
      <c r="CC41" s="306"/>
      <c r="CD41" s="306"/>
      <c r="CE41" s="306"/>
      <c r="CF41" s="306"/>
      <c r="CG41" s="306"/>
      <c r="CH41" s="306"/>
      <c r="CI41" s="306"/>
      <c r="CJ41" s="306"/>
      <c r="CK41" s="306"/>
      <c r="CL41" s="306"/>
      <c r="CM41" s="306"/>
      <c r="CN41" s="306"/>
      <c r="CO41" s="306"/>
      <c r="CP41" s="306"/>
      <c r="CQ41" s="306"/>
      <c r="CR41" s="306"/>
      <c r="CS41" s="306"/>
      <c r="CT41" s="306"/>
      <c r="CU41" s="306"/>
      <c r="CV41" s="306"/>
      <c r="CW41" s="306"/>
      <c r="CX41" s="306"/>
      <c r="CY41" s="306"/>
      <c r="CZ41" s="306"/>
      <c r="DA41" s="306"/>
      <c r="DB41" s="306"/>
      <c r="DC41" s="306"/>
      <c r="DD41" s="306"/>
      <c r="DE41" s="306"/>
      <c r="DF41" s="306"/>
      <c r="DG41" s="306"/>
      <c r="DH41" s="306"/>
      <c r="DI41" s="306"/>
      <c r="DJ41" s="306"/>
      <c r="DK41" s="306"/>
      <c r="DL41" s="306"/>
      <c r="DM41" s="306"/>
      <c r="DN41" s="306"/>
      <c r="DO41" s="306"/>
      <c r="DP41" s="306"/>
      <c r="DQ41" s="306"/>
      <c r="DR41" s="306"/>
      <c r="DS41" s="306"/>
      <c r="DT41" s="306"/>
      <c r="DU41" s="306"/>
      <c r="DV41" s="306"/>
      <c r="DW41" s="306"/>
      <c r="DX41" s="306"/>
      <c r="DY41" s="306"/>
      <c r="DZ41" s="306"/>
      <c r="EA41" s="306"/>
      <c r="EB41" s="306"/>
    </row>
    <row r="42" spans="1:132" s="1" customFormat="1" ht="15">
      <c r="A42" s="306"/>
      <c r="B42" s="130"/>
      <c r="C42" s="130"/>
      <c r="D42" s="130"/>
      <c r="E42" s="130"/>
      <c r="F42" s="130"/>
      <c r="G42" s="130"/>
      <c r="H42" s="130"/>
      <c r="I42" s="130"/>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J42" s="306"/>
      <c r="AK42" s="306"/>
      <c r="AL42" s="306"/>
      <c r="AM42" s="306"/>
      <c r="AN42" s="306"/>
      <c r="AO42" s="306"/>
      <c r="AP42" s="306"/>
      <c r="AQ42" s="306"/>
      <c r="AR42" s="306"/>
      <c r="AS42" s="306"/>
      <c r="AT42" s="306"/>
      <c r="AU42" s="306"/>
      <c r="AV42" s="306"/>
      <c r="AW42" s="306"/>
      <c r="AX42" s="306"/>
      <c r="AY42" s="306"/>
      <c r="AZ42" s="306"/>
      <c r="BA42" s="306"/>
      <c r="BB42" s="306"/>
      <c r="BC42" s="306"/>
      <c r="BD42" s="306"/>
      <c r="BE42" s="306"/>
      <c r="BF42" s="306"/>
      <c r="BG42" s="306"/>
      <c r="BH42" s="306"/>
      <c r="BI42" s="306"/>
      <c r="BJ42" s="306"/>
      <c r="BK42" s="306"/>
      <c r="BL42" s="306"/>
      <c r="BM42" s="306"/>
      <c r="BN42" s="306"/>
      <c r="BO42" s="306"/>
      <c r="BP42" s="306"/>
      <c r="BQ42" s="306"/>
      <c r="BR42" s="306"/>
      <c r="BS42" s="306"/>
      <c r="BT42" s="306"/>
      <c r="BU42" s="306"/>
      <c r="BV42" s="306"/>
      <c r="BW42" s="306"/>
      <c r="BX42" s="306"/>
      <c r="BY42" s="306"/>
      <c r="BZ42" s="306"/>
      <c r="CA42" s="306"/>
      <c r="CB42" s="306"/>
      <c r="CC42" s="306"/>
      <c r="CD42" s="306"/>
      <c r="CE42" s="306"/>
      <c r="CF42" s="306"/>
      <c r="CG42" s="306"/>
      <c r="CH42" s="306"/>
      <c r="CI42" s="306"/>
      <c r="CJ42" s="306"/>
      <c r="CK42" s="306"/>
      <c r="CL42" s="306"/>
      <c r="CM42" s="306"/>
      <c r="CN42" s="306"/>
      <c r="CO42" s="306"/>
      <c r="CP42" s="306"/>
      <c r="CQ42" s="306"/>
      <c r="CR42" s="306"/>
      <c r="CS42" s="306"/>
      <c r="CT42" s="306"/>
      <c r="CU42" s="306"/>
      <c r="CV42" s="306"/>
      <c r="CW42" s="306"/>
      <c r="CX42" s="306"/>
      <c r="CY42" s="306"/>
      <c r="CZ42" s="306"/>
      <c r="DA42" s="306"/>
      <c r="DB42" s="306"/>
      <c r="DC42" s="306"/>
      <c r="DD42" s="306"/>
      <c r="DE42" s="306"/>
      <c r="DF42" s="306"/>
      <c r="DG42" s="306"/>
      <c r="DH42" s="306"/>
      <c r="DI42" s="306"/>
      <c r="DJ42" s="306"/>
      <c r="DK42" s="306"/>
      <c r="DL42" s="306"/>
      <c r="DM42" s="306"/>
      <c r="DN42" s="306"/>
      <c r="DO42" s="306"/>
      <c r="DP42" s="306"/>
      <c r="DQ42" s="306"/>
      <c r="DR42" s="306"/>
      <c r="DS42" s="306"/>
      <c r="DT42" s="306"/>
      <c r="DU42" s="306"/>
      <c r="DV42" s="306"/>
      <c r="DW42" s="306"/>
      <c r="DX42" s="306"/>
      <c r="DY42" s="306"/>
      <c r="DZ42" s="306"/>
      <c r="EA42" s="306"/>
      <c r="EB42" s="306"/>
    </row>
    <row r="43" spans="2:9" ht="15">
      <c r="B43" s="130"/>
      <c r="C43" s="130"/>
      <c r="D43" s="130"/>
      <c r="E43" s="130"/>
      <c r="F43" s="136" t="s">
        <v>202</v>
      </c>
      <c r="G43" s="130"/>
      <c r="H43" s="130"/>
      <c r="I43" s="130"/>
    </row>
    <row r="44" spans="2:9" ht="15">
      <c r="B44" s="130"/>
      <c r="C44" s="130"/>
      <c r="D44" s="130"/>
      <c r="E44" s="130"/>
      <c r="F44" s="130"/>
      <c r="G44" s="130"/>
      <c r="H44" s="130"/>
      <c r="I44" s="130"/>
    </row>
    <row r="45" spans="2:9" ht="15">
      <c r="B45" s="130"/>
      <c r="C45" s="130"/>
      <c r="D45" s="130"/>
      <c r="E45" s="130"/>
      <c r="F45" s="130"/>
      <c r="G45" s="130"/>
      <c r="H45" s="130"/>
      <c r="I45" s="130"/>
    </row>
    <row r="46" spans="2:9" ht="15">
      <c r="B46" s="130"/>
      <c r="C46" s="130"/>
      <c r="D46" s="130"/>
      <c r="E46" s="130"/>
      <c r="F46" s="130"/>
      <c r="G46" s="130"/>
      <c r="H46" s="130"/>
      <c r="I46" s="130"/>
    </row>
    <row r="47" spans="2:9" ht="15">
      <c r="B47" s="5"/>
      <c r="C47" s="5"/>
      <c r="D47" s="5"/>
      <c r="E47" s="5"/>
      <c r="F47" s="5"/>
      <c r="G47" s="5"/>
      <c r="H47" s="5"/>
      <c r="I47" s="5"/>
    </row>
    <row r="48" spans="2:9" s="306" customFormat="1" ht="15">
      <c r="B48" s="308"/>
      <c r="C48" s="308"/>
      <c r="D48" s="308"/>
      <c r="E48" s="308"/>
      <c r="F48" s="308"/>
      <c r="G48" s="308"/>
      <c r="H48" s="308"/>
      <c r="I48" s="308"/>
    </row>
    <row r="49" spans="2:9" s="306" customFormat="1" ht="15">
      <c r="B49" s="308"/>
      <c r="C49" s="308"/>
      <c r="D49" s="308"/>
      <c r="E49" s="308"/>
      <c r="F49" s="308"/>
      <c r="G49" s="308"/>
      <c r="H49" s="308"/>
      <c r="I49" s="308"/>
    </row>
    <row r="50" spans="2:9" s="306" customFormat="1" ht="15">
      <c r="B50" s="308"/>
      <c r="C50" s="308"/>
      <c r="D50" s="308"/>
      <c r="E50" s="308"/>
      <c r="F50" s="308"/>
      <c r="G50" s="308"/>
      <c r="H50" s="308"/>
      <c r="I50" s="308"/>
    </row>
    <row r="51" spans="2:9" s="306" customFormat="1" ht="15">
      <c r="B51" s="308"/>
      <c r="C51" s="308"/>
      <c r="D51" s="308"/>
      <c r="E51" s="308"/>
      <c r="F51" s="308"/>
      <c r="G51" s="308"/>
      <c r="H51" s="308"/>
      <c r="I51" s="308"/>
    </row>
    <row r="52" s="306" customFormat="1" ht="15"/>
    <row r="53" s="306" customFormat="1" ht="15"/>
    <row r="54" s="306" customFormat="1" ht="15"/>
    <row r="55" s="306" customFormat="1" ht="15"/>
    <row r="56" s="306" customFormat="1" ht="15"/>
    <row r="57" s="306" customFormat="1" ht="15"/>
    <row r="58" s="306" customFormat="1" ht="15"/>
    <row r="59" s="306" customFormat="1" ht="15"/>
    <row r="60" s="306" customFormat="1" ht="15"/>
    <row r="61" s="306" customFormat="1" ht="15"/>
    <row r="62" s="306" customFormat="1" ht="15"/>
    <row r="63" s="306" customFormat="1" ht="15"/>
    <row r="64" s="306" customFormat="1" ht="15"/>
    <row r="65" s="306" customFormat="1" ht="15"/>
    <row r="66" s="306" customFormat="1" ht="15"/>
    <row r="67" s="306" customFormat="1" ht="15"/>
    <row r="68" s="306" customFormat="1" ht="15"/>
    <row r="69" s="306" customFormat="1" ht="15"/>
    <row r="70" s="306" customFormat="1" ht="15"/>
    <row r="71" s="306" customFormat="1" ht="15"/>
    <row r="72" s="306" customFormat="1" ht="15"/>
    <row r="73" s="306" customFormat="1" ht="15"/>
    <row r="74" s="306" customFormat="1" ht="15"/>
    <row r="75" s="306" customFormat="1" ht="15"/>
    <row r="76" s="306" customFormat="1" ht="15"/>
    <row r="77" s="306" customFormat="1" ht="15"/>
    <row r="78" s="306" customFormat="1" ht="15"/>
    <row r="79" s="306" customFormat="1" ht="15"/>
    <row r="80" s="306" customFormat="1" ht="15"/>
    <row r="81" s="306" customFormat="1" ht="15"/>
    <row r="82" s="306" customFormat="1" ht="15"/>
    <row r="83" s="306" customFormat="1" ht="15"/>
    <row r="84" s="306" customFormat="1" ht="15"/>
    <row r="85" s="306" customFormat="1" ht="15"/>
    <row r="86" s="306" customFormat="1" ht="15"/>
    <row r="87" s="306" customFormat="1" ht="15"/>
    <row r="88" s="306" customFormat="1" ht="15"/>
    <row r="89" s="306" customFormat="1" ht="15"/>
    <row r="90" s="306" customFormat="1" ht="15"/>
    <row r="91" s="306" customFormat="1" ht="15"/>
    <row r="92" s="306" customFormat="1" ht="15"/>
    <row r="93" s="306" customFormat="1" ht="15"/>
    <row r="94" s="306" customFormat="1" ht="15"/>
    <row r="95" s="306" customFormat="1" ht="15"/>
    <row r="96" s="306" customFormat="1" ht="15"/>
    <row r="97" s="306" customFormat="1" ht="15"/>
    <row r="98" s="306" customFormat="1" ht="15"/>
    <row r="99" s="306" customFormat="1" ht="15"/>
    <row r="100" s="306" customFormat="1" ht="15"/>
    <row r="101" s="306" customFormat="1" ht="15"/>
    <row r="102" s="306" customFormat="1" ht="15"/>
    <row r="103" s="306" customFormat="1" ht="15"/>
    <row r="104" s="306" customFormat="1" ht="15"/>
    <row r="105" s="306" customFormat="1" ht="15"/>
    <row r="106" s="306" customFormat="1" ht="15"/>
    <row r="107" s="306" customFormat="1" ht="15"/>
    <row r="108" s="306" customFormat="1" ht="15"/>
    <row r="109" s="306" customFormat="1" ht="15"/>
    <row r="110" s="306" customFormat="1" ht="15"/>
    <row r="111" s="306" customFormat="1" ht="15"/>
    <row r="112" s="306" customFormat="1" ht="15"/>
    <row r="113" s="306" customFormat="1" ht="15"/>
    <row r="114" s="306" customFormat="1" ht="15"/>
    <row r="115" s="306" customFormat="1" ht="15"/>
    <row r="116" s="306" customFormat="1" ht="15"/>
    <row r="117" s="306" customFormat="1" ht="15"/>
    <row r="118" s="306" customFormat="1" ht="15"/>
    <row r="119" s="306" customFormat="1" ht="15"/>
    <row r="120" s="306" customFormat="1" ht="15"/>
    <row r="121" s="306" customFormat="1" ht="15"/>
    <row r="122" s="306" customFormat="1" ht="15"/>
    <row r="123" s="306" customFormat="1" ht="15"/>
    <row r="124" s="306" customFormat="1" ht="15"/>
    <row r="125" s="306" customFormat="1" ht="15"/>
    <row r="126" s="306" customFormat="1" ht="15"/>
    <row r="127" s="306" customFormat="1" ht="15"/>
    <row r="128" s="306" customFormat="1" ht="15"/>
    <row r="129" s="306" customFormat="1" ht="15"/>
    <row r="130" s="306" customFormat="1" ht="15"/>
    <row r="131" s="306" customFormat="1" ht="15"/>
    <row r="132" s="306" customFormat="1" ht="15"/>
    <row r="133" s="306" customFormat="1" ht="15"/>
    <row r="134" s="306" customFormat="1" ht="15"/>
    <row r="135" s="306" customFormat="1" ht="15"/>
    <row r="136" s="306" customFormat="1" ht="15"/>
    <row r="137" s="306" customFormat="1" ht="15"/>
    <row r="138" s="306" customFormat="1" ht="15"/>
    <row r="139" s="306" customFormat="1" ht="15"/>
    <row r="140" s="306" customFormat="1" ht="15"/>
    <row r="141" s="306" customFormat="1" ht="15"/>
    <row r="142" s="306" customFormat="1" ht="15"/>
    <row r="143" s="306" customFormat="1" ht="15"/>
    <row r="144" s="306" customFormat="1" ht="15"/>
    <row r="145" s="306" customFormat="1" ht="15"/>
    <row r="146" s="306" customFormat="1" ht="15"/>
    <row r="147" s="306" customFormat="1" ht="15"/>
    <row r="148" s="306" customFormat="1" ht="15"/>
    <row r="149" s="306" customFormat="1" ht="15"/>
    <row r="150" s="306" customFormat="1" ht="15"/>
    <row r="151" s="306" customFormat="1" ht="15"/>
    <row r="152" s="306" customFormat="1" ht="15"/>
    <row r="153" s="306" customFormat="1" ht="15"/>
    <row r="154" s="306" customFormat="1" ht="15"/>
    <row r="155" s="306" customFormat="1" ht="15"/>
    <row r="156" s="306" customFormat="1" ht="15"/>
    <row r="157" s="306" customFormat="1" ht="15"/>
    <row r="158" s="306" customFormat="1" ht="15"/>
    <row r="159" s="306" customFormat="1" ht="15"/>
    <row r="160" s="306" customFormat="1" ht="15"/>
    <row r="161" s="306" customFormat="1" ht="15"/>
    <row r="162" s="306" customFormat="1" ht="15"/>
    <row r="163" s="306" customFormat="1" ht="15"/>
    <row r="164" s="306" customFormat="1" ht="15"/>
    <row r="165" s="306" customFormat="1" ht="15"/>
    <row r="166" s="306" customFormat="1" ht="15"/>
    <row r="167" s="306" customFormat="1" ht="15"/>
    <row r="168" s="306" customFormat="1" ht="15"/>
    <row r="169" s="306" customFormat="1" ht="15"/>
    <row r="170" s="306" customFormat="1" ht="15"/>
    <row r="171" s="306" customFormat="1" ht="15"/>
    <row r="172" s="306" customFormat="1" ht="15"/>
    <row r="173" s="306" customFormat="1" ht="15"/>
    <row r="174" s="306" customFormat="1" ht="15"/>
    <row r="175" s="306" customFormat="1" ht="15"/>
    <row r="176" s="306" customFormat="1" ht="15"/>
    <row r="177" s="306" customFormat="1" ht="15"/>
    <row r="178" s="306" customFormat="1" ht="15"/>
    <row r="179" s="306" customFormat="1" ht="15"/>
    <row r="180" s="306" customFormat="1" ht="15"/>
    <row r="181" s="306" customFormat="1" ht="15"/>
    <row r="182" s="306" customFormat="1" ht="15"/>
    <row r="183" s="306" customFormat="1" ht="15"/>
    <row r="184" s="306" customFormat="1" ht="15"/>
    <row r="185" s="306" customFormat="1" ht="15"/>
    <row r="186" s="306" customFormat="1" ht="15"/>
    <row r="187" s="306" customFormat="1" ht="15"/>
    <row r="188" s="306" customFormat="1" ht="15"/>
    <row r="189" s="306" customFormat="1" ht="15"/>
    <row r="190" s="306" customFormat="1" ht="15"/>
    <row r="191" s="306" customFormat="1" ht="15"/>
    <row r="192" s="306" customFormat="1" ht="15"/>
    <row r="193" s="306" customFormat="1" ht="15"/>
    <row r="194" s="306" customFormat="1" ht="15"/>
    <row r="195" s="306" customFormat="1" ht="15"/>
    <row r="196" s="306" customFormat="1" ht="15"/>
    <row r="197" s="306" customFormat="1" ht="15"/>
    <row r="198" s="306" customFormat="1" ht="15"/>
    <row r="199" s="306" customFormat="1" ht="15"/>
    <row r="200" s="306" customFormat="1" ht="15"/>
    <row r="201" s="306" customFormat="1" ht="15"/>
    <row r="202" s="306" customFormat="1" ht="15"/>
    <row r="203" s="306" customFormat="1" ht="15"/>
    <row r="204" s="306" customFormat="1" ht="15"/>
    <row r="205" s="306" customFormat="1" ht="15"/>
    <row r="206" s="306" customFormat="1" ht="15"/>
    <row r="207" s="306" customFormat="1" ht="15"/>
    <row r="208" s="306" customFormat="1" ht="15"/>
    <row r="209" s="306" customFormat="1" ht="15"/>
    <row r="210" s="306" customFormat="1" ht="15"/>
    <row r="211" s="306" customFormat="1" ht="15"/>
    <row r="212" s="306" customFormat="1" ht="15"/>
    <row r="213" s="306" customFormat="1" ht="15"/>
    <row r="214" s="306" customFormat="1" ht="15"/>
    <row r="215" s="306" customFormat="1" ht="15"/>
    <row r="216" s="306" customFormat="1" ht="15"/>
    <row r="217" s="306" customFormat="1" ht="15"/>
    <row r="218" s="306" customFormat="1" ht="15"/>
    <row r="219" s="306" customFormat="1" ht="15"/>
    <row r="220" s="306" customFormat="1" ht="15"/>
    <row r="221" s="306" customFormat="1" ht="15"/>
    <row r="222" s="306" customFormat="1" ht="15"/>
    <row r="223" s="306" customFormat="1" ht="15"/>
    <row r="224" s="306" customFormat="1" ht="15"/>
    <row r="225" s="306" customFormat="1" ht="15"/>
    <row r="226" s="306" customFormat="1" ht="15"/>
    <row r="227" s="306" customFormat="1" ht="15"/>
    <row r="228" s="306" customFormat="1" ht="15"/>
    <row r="229" s="306" customFormat="1" ht="15"/>
    <row r="230" s="306" customFormat="1" ht="15"/>
    <row r="231" s="306" customFormat="1" ht="15"/>
    <row r="232" s="306" customFormat="1" ht="15"/>
    <row r="233" s="306" customFormat="1" ht="15"/>
    <row r="234" s="306" customFormat="1" ht="15"/>
    <row r="235" s="306" customFormat="1" ht="15"/>
    <row r="236" s="306" customFormat="1" ht="15"/>
    <row r="237" s="306" customFormat="1" ht="15"/>
    <row r="238" s="306" customFormat="1" ht="15"/>
    <row r="239" s="306" customFormat="1" ht="15"/>
    <row r="240" s="306" customFormat="1" ht="15"/>
    <row r="241" s="306" customFormat="1" ht="15"/>
    <row r="242" s="306" customFormat="1" ht="15"/>
    <row r="243" s="306" customFormat="1" ht="15"/>
    <row r="244" s="306" customFormat="1" ht="15"/>
    <row r="245" s="306" customFormat="1" ht="15"/>
    <row r="246" s="306" customFormat="1" ht="15"/>
    <row r="247" s="306" customFormat="1" ht="15"/>
    <row r="248" s="306" customFormat="1" ht="15"/>
    <row r="249" s="306" customFormat="1" ht="15"/>
    <row r="250" s="306" customFormat="1" ht="15"/>
    <row r="251" s="306" customFormat="1" ht="15"/>
    <row r="252" s="306" customFormat="1" ht="15"/>
    <row r="253" s="306" customFormat="1" ht="15"/>
    <row r="254" s="306" customFormat="1" ht="15"/>
    <row r="255" s="306" customFormat="1" ht="15"/>
    <row r="256" s="306" customFormat="1" ht="15"/>
    <row r="257" s="306" customFormat="1" ht="15"/>
    <row r="258" s="306" customFormat="1" ht="15"/>
    <row r="259" s="306" customFormat="1" ht="15"/>
    <row r="260" s="306" customFormat="1" ht="15"/>
    <row r="261" s="306" customFormat="1" ht="15"/>
    <row r="262" s="306" customFormat="1" ht="15"/>
    <row r="263" s="306" customFormat="1" ht="15"/>
    <row r="264" s="306" customFormat="1" ht="15"/>
    <row r="265" s="306" customFormat="1" ht="15"/>
    <row r="266" s="306" customFormat="1" ht="15"/>
    <row r="267" s="306" customFormat="1" ht="15"/>
    <row r="268" s="306" customFormat="1" ht="15"/>
    <row r="269" s="306" customFormat="1" ht="15"/>
    <row r="270" s="306" customFormat="1" ht="15"/>
    <row r="271" s="306" customFormat="1" ht="15"/>
    <row r="272" s="306" customFormat="1" ht="15"/>
    <row r="273" s="306" customFormat="1" ht="15"/>
    <row r="274" s="306" customFormat="1" ht="15"/>
    <row r="275" s="306" customFormat="1" ht="15"/>
    <row r="276" s="306" customFormat="1" ht="15"/>
    <row r="277" s="306" customFormat="1" ht="15"/>
    <row r="278" s="306" customFormat="1" ht="15"/>
    <row r="279" s="306" customFormat="1" ht="15"/>
    <row r="280" s="306" customFormat="1" ht="15"/>
    <row r="281" s="306" customFormat="1" ht="15"/>
    <row r="282" s="306" customFormat="1" ht="15"/>
    <row r="283" s="306" customFormat="1" ht="15"/>
    <row r="284" s="306" customFormat="1" ht="15"/>
    <row r="285" s="306" customFormat="1" ht="15"/>
    <row r="286" s="306" customFormat="1" ht="15"/>
    <row r="287" s="306" customFormat="1" ht="15"/>
    <row r="288" s="306" customFormat="1" ht="15"/>
    <row r="289" s="306" customFormat="1" ht="15"/>
    <row r="290" s="306" customFormat="1" ht="15"/>
    <row r="291" s="306" customFormat="1" ht="15"/>
    <row r="292" s="306" customFormat="1" ht="15"/>
    <row r="293" s="306" customFormat="1" ht="15"/>
    <row r="294" s="306" customFormat="1" ht="15"/>
    <row r="295" s="306" customFormat="1" ht="15"/>
    <row r="296" s="306" customFormat="1" ht="15"/>
    <row r="297" s="306" customFormat="1" ht="15"/>
    <row r="298" s="306" customFormat="1" ht="15"/>
    <row r="299" s="306" customFormat="1" ht="15"/>
    <row r="300" s="306" customFormat="1" ht="15"/>
    <row r="301" s="306" customFormat="1" ht="15"/>
    <row r="302" s="306" customFormat="1" ht="15"/>
    <row r="303" s="306" customFormat="1" ht="15"/>
    <row r="304" s="306" customFormat="1" ht="15"/>
    <row r="305" s="306" customFormat="1" ht="15"/>
    <row r="306" s="306" customFormat="1" ht="15"/>
    <row r="307" s="306" customFormat="1" ht="15"/>
    <row r="308" s="306" customFormat="1" ht="15"/>
    <row r="309" s="306" customFormat="1" ht="15"/>
    <row r="310" s="306" customFormat="1" ht="15"/>
    <row r="311" s="306" customFormat="1" ht="15"/>
    <row r="312" s="306" customFormat="1" ht="15"/>
    <row r="313" s="306" customFormat="1" ht="15"/>
    <row r="314" s="306" customFormat="1" ht="15"/>
    <row r="315" s="306" customFormat="1" ht="15"/>
    <row r="316" s="306" customFormat="1" ht="15"/>
    <row r="317" s="306" customFormat="1" ht="15"/>
    <row r="318" s="306" customFormat="1" ht="15"/>
    <row r="319" s="306" customFormat="1" ht="15"/>
    <row r="320" s="306" customFormat="1" ht="15"/>
    <row r="321" s="306" customFormat="1" ht="15"/>
    <row r="322" s="306" customFormat="1" ht="15"/>
    <row r="323" s="306" customFormat="1" ht="15"/>
    <row r="324" s="306" customFormat="1" ht="15"/>
    <row r="325" s="306" customFormat="1" ht="15"/>
    <row r="326" s="306" customFormat="1" ht="15"/>
    <row r="327" s="306" customFormat="1" ht="15"/>
    <row r="328" s="306" customFormat="1" ht="15"/>
    <row r="329" s="306" customFormat="1" ht="15"/>
    <row r="330" s="306" customFormat="1" ht="15"/>
    <row r="331" s="306" customFormat="1" ht="15"/>
    <row r="332" s="306" customFormat="1" ht="15"/>
    <row r="333" s="306" customFormat="1" ht="15"/>
    <row r="334" s="306" customFormat="1" ht="15"/>
    <row r="335" s="306" customFormat="1" ht="15"/>
    <row r="336" s="306" customFormat="1" ht="15"/>
    <row r="337" s="306" customFormat="1" ht="15"/>
    <row r="338" s="306" customFormat="1" ht="15"/>
    <row r="339" s="306" customFormat="1" ht="15"/>
    <row r="340" s="306" customFormat="1" ht="15"/>
    <row r="341" s="306" customFormat="1" ht="15"/>
    <row r="342" s="306" customFormat="1" ht="15"/>
    <row r="343" s="306" customFormat="1" ht="15"/>
    <row r="344" s="306" customFormat="1" ht="15"/>
    <row r="345" s="306" customFormat="1" ht="15"/>
    <row r="346" s="306" customFormat="1" ht="15"/>
    <row r="347" s="306" customFormat="1" ht="15"/>
    <row r="348" s="306" customFormat="1" ht="15"/>
    <row r="349" s="306" customFormat="1" ht="15"/>
    <row r="350" s="306" customFormat="1" ht="15"/>
    <row r="351" s="306" customFormat="1" ht="15"/>
    <row r="352" s="306" customFormat="1" ht="15"/>
    <row r="353" s="306" customFormat="1" ht="15"/>
    <row r="354" s="306" customFormat="1" ht="15"/>
    <row r="355" s="306" customFormat="1" ht="15"/>
    <row r="356" s="306" customFormat="1" ht="15"/>
    <row r="357" s="306" customFormat="1" ht="15"/>
    <row r="358" s="306" customFormat="1" ht="15"/>
    <row r="359" s="306" customFormat="1" ht="15"/>
    <row r="360" s="306" customFormat="1" ht="15"/>
    <row r="361" s="306" customFormat="1" ht="15"/>
    <row r="362" s="306" customFormat="1" ht="15"/>
    <row r="363" s="306" customFormat="1" ht="15"/>
    <row r="364" s="306" customFormat="1" ht="15"/>
    <row r="365" s="306" customFormat="1" ht="15"/>
    <row r="366" s="306" customFormat="1" ht="15"/>
    <row r="367" s="306" customFormat="1" ht="15"/>
    <row r="368" s="306" customFormat="1" ht="15"/>
    <row r="369" s="306" customFormat="1" ht="15"/>
    <row r="370" s="306" customFormat="1" ht="15"/>
    <row r="371" s="306" customFormat="1" ht="15"/>
    <row r="372" s="306" customFormat="1" ht="15"/>
    <row r="373" s="306" customFormat="1" ht="15"/>
    <row r="374" s="306" customFormat="1" ht="15"/>
    <row r="375" s="306" customFormat="1" ht="15"/>
    <row r="376" s="306" customFormat="1" ht="15"/>
    <row r="377" s="306" customFormat="1" ht="15"/>
    <row r="378" s="306" customFormat="1" ht="15"/>
    <row r="379" s="306" customFormat="1" ht="15"/>
    <row r="380" s="306" customFormat="1" ht="15"/>
    <row r="381" s="306" customFormat="1" ht="15"/>
    <row r="382" s="306" customFormat="1" ht="15"/>
    <row r="383" s="306" customFormat="1" ht="15"/>
    <row r="384" s="306" customFormat="1" ht="15"/>
    <row r="385" s="306" customFormat="1" ht="15"/>
    <row r="386" s="306" customFormat="1" ht="15"/>
    <row r="387" s="306" customFormat="1" ht="15"/>
    <row r="388" s="306" customFormat="1" ht="15"/>
    <row r="389" s="306" customFormat="1" ht="15"/>
    <row r="390" s="306" customFormat="1" ht="15"/>
    <row r="391" s="306" customFormat="1" ht="15"/>
    <row r="392" s="306" customFormat="1" ht="15"/>
    <row r="393" s="306" customFormat="1" ht="15"/>
    <row r="394" s="306" customFormat="1" ht="15"/>
    <row r="395" s="306" customFormat="1" ht="15"/>
    <row r="396" s="306" customFormat="1" ht="15"/>
    <row r="397" s="306" customFormat="1" ht="15"/>
    <row r="398" s="306" customFormat="1" ht="15"/>
    <row r="399" s="306" customFormat="1" ht="15"/>
    <row r="400" s="306" customFormat="1" ht="15"/>
    <row r="401" s="306" customFormat="1" ht="15"/>
    <row r="402" s="306" customFormat="1" ht="15"/>
    <row r="403" s="306" customFormat="1" ht="15"/>
    <row r="404" s="306" customFormat="1" ht="15"/>
    <row r="405" s="306" customFormat="1" ht="15"/>
    <row r="406" s="306" customFormat="1" ht="15"/>
    <row r="407" s="306" customFormat="1" ht="15"/>
    <row r="408" s="306" customFormat="1" ht="15"/>
    <row r="409" s="306" customFormat="1" ht="15"/>
    <row r="410" s="306" customFormat="1" ht="15"/>
    <row r="411" s="306" customFormat="1" ht="15"/>
    <row r="412" s="306" customFormat="1" ht="15"/>
    <row r="413" s="306" customFormat="1" ht="15"/>
    <row r="414" s="306" customFormat="1" ht="15"/>
    <row r="415" s="306" customFormat="1" ht="15"/>
    <row r="416" s="306" customFormat="1" ht="15"/>
    <row r="417" s="306" customFormat="1" ht="15"/>
    <row r="418" s="306" customFormat="1" ht="15"/>
    <row r="419" s="306" customFormat="1" ht="15"/>
    <row r="420" s="306" customFormat="1" ht="15"/>
    <row r="421" s="306" customFormat="1" ht="15"/>
    <row r="422" s="306" customFormat="1" ht="15"/>
    <row r="423" s="306" customFormat="1" ht="15"/>
    <row r="424" s="306" customFormat="1" ht="15"/>
    <row r="425" s="306" customFormat="1" ht="15"/>
    <row r="426" s="306" customFormat="1" ht="15"/>
    <row r="427" s="306" customFormat="1" ht="15"/>
    <row r="428" s="306" customFormat="1" ht="15"/>
    <row r="429" s="306" customFormat="1" ht="15"/>
    <row r="430" s="306" customFormat="1" ht="15"/>
    <row r="431" s="306" customFormat="1" ht="15"/>
    <row r="432" s="306" customFormat="1" ht="15"/>
    <row r="433" s="306" customFormat="1" ht="15"/>
    <row r="434" s="306" customFormat="1" ht="15"/>
    <row r="435" s="306" customFormat="1" ht="15"/>
    <row r="436" s="306" customFormat="1" ht="15"/>
    <row r="437" s="306" customFormat="1" ht="15"/>
    <row r="438" s="306" customFormat="1" ht="15"/>
    <row r="439" s="306" customFormat="1" ht="15"/>
    <row r="440" s="306" customFormat="1" ht="15"/>
    <row r="441" s="306" customFormat="1" ht="15"/>
    <row r="442" s="306" customFormat="1" ht="15"/>
    <row r="443" s="306" customFormat="1" ht="15"/>
    <row r="444" s="306" customFormat="1" ht="15"/>
    <row r="445" s="306" customFormat="1" ht="15"/>
    <row r="446" s="306" customFormat="1" ht="15"/>
    <row r="447" s="306" customFormat="1" ht="15"/>
    <row r="448" s="306" customFormat="1" ht="15"/>
    <row r="449" s="306" customFormat="1" ht="15"/>
    <row r="450" s="306" customFormat="1" ht="15"/>
    <row r="451" s="306" customFormat="1" ht="15"/>
    <row r="452" s="306" customFormat="1" ht="15"/>
    <row r="453" s="306" customFormat="1" ht="15"/>
    <row r="454" s="306" customFormat="1" ht="15"/>
    <row r="455" s="306" customFormat="1" ht="15"/>
    <row r="456" s="306" customFormat="1" ht="15"/>
    <row r="457" s="306" customFormat="1" ht="15"/>
    <row r="458" s="306" customFormat="1" ht="15"/>
    <row r="459" s="306" customFormat="1" ht="15"/>
    <row r="460" s="306" customFormat="1" ht="15"/>
    <row r="461" s="306" customFormat="1" ht="15"/>
    <row r="462" s="306" customFormat="1" ht="15"/>
    <row r="463" s="306" customFormat="1" ht="15"/>
    <row r="464" s="306" customFormat="1" ht="15"/>
    <row r="465" s="306" customFormat="1" ht="15"/>
    <row r="466" s="306" customFormat="1" ht="15"/>
    <row r="467" s="306" customFormat="1" ht="15"/>
    <row r="468" s="306" customFormat="1" ht="15"/>
    <row r="469" s="306" customFormat="1" ht="15"/>
    <row r="470" s="306" customFormat="1" ht="15"/>
    <row r="471" s="306" customFormat="1" ht="15"/>
    <row r="472" s="306" customFormat="1" ht="15"/>
    <row r="473" s="306" customFormat="1" ht="15"/>
    <row r="474" s="306" customFormat="1" ht="15"/>
    <row r="475" s="306" customFormat="1" ht="15"/>
    <row r="476" s="306" customFormat="1" ht="15"/>
    <row r="477" s="306" customFormat="1" ht="15"/>
    <row r="478" s="306" customFormat="1" ht="15"/>
    <row r="479" s="306" customFormat="1" ht="15"/>
    <row r="480" s="306" customFormat="1" ht="15"/>
    <row r="481" s="306" customFormat="1" ht="15"/>
    <row r="482" s="306" customFormat="1" ht="15"/>
    <row r="483" s="306" customFormat="1" ht="15"/>
    <row r="484" s="306" customFormat="1" ht="15"/>
    <row r="485" s="306" customFormat="1" ht="15"/>
    <row r="486" s="306" customFormat="1" ht="15"/>
    <row r="487" s="306" customFormat="1" ht="15"/>
    <row r="488" s="306" customFormat="1" ht="15"/>
  </sheetData>
  <sheetProtection password="E69A" sheet="1" objects="1" scenarios="1" selectLockedCells="1"/>
  <mergeCells count="26">
    <mergeCell ref="B4:I4"/>
    <mergeCell ref="B5:I5"/>
    <mergeCell ref="B11:B12"/>
    <mergeCell ref="C11:C12"/>
    <mergeCell ref="D11:D12"/>
    <mergeCell ref="G11:G12"/>
    <mergeCell ref="H11:H12"/>
    <mergeCell ref="B35:B36"/>
    <mergeCell ref="C35:C36"/>
    <mergeCell ref="D35:D36"/>
    <mergeCell ref="E35:E36"/>
    <mergeCell ref="F35:F36"/>
    <mergeCell ref="G7:H7"/>
    <mergeCell ref="G31:H31"/>
    <mergeCell ref="D8:E8"/>
    <mergeCell ref="D32:E32"/>
    <mergeCell ref="I35:I36"/>
    <mergeCell ref="I11:I12"/>
    <mergeCell ref="B2:I3"/>
    <mergeCell ref="B26:I27"/>
    <mergeCell ref="B28:I28"/>
    <mergeCell ref="B29:I29"/>
    <mergeCell ref="E11:E12"/>
    <mergeCell ref="F11:F12"/>
    <mergeCell ref="G35:G36"/>
    <mergeCell ref="H35:H36"/>
  </mergeCells>
  <printOptions/>
  <pageMargins left="0.36" right="0.23" top="0.45" bottom="0.21" header="0.3" footer="0.19"/>
  <pageSetup horizontalDpi="300" verticalDpi="300" orientation="portrait" paperSize="9" scale="105" r:id="rId4"/>
  <ignoredErrors>
    <ignoredError sqref="D31" formula="1"/>
  </ignoredErrors>
  <drawing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2:CS49"/>
  <sheetViews>
    <sheetView showGridLines="0" showRowColHeaders="0" zoomScalePageLayoutView="0" workbookViewId="0" topLeftCell="A4">
      <selection activeCell="Q9" sqref="Q9"/>
    </sheetView>
  </sheetViews>
  <sheetFormatPr defaultColWidth="9.140625" defaultRowHeight="15"/>
  <cols>
    <col min="1" max="1" width="5.00390625" style="331" customWidth="1"/>
    <col min="2" max="2" width="5.7109375" style="5" customWidth="1"/>
    <col min="3" max="3" width="4.421875" style="5" customWidth="1"/>
    <col min="4" max="4" width="10.7109375" style="5" customWidth="1"/>
    <col min="5" max="5" width="11.7109375" style="5" customWidth="1"/>
    <col min="6" max="7" width="10.7109375" style="5" customWidth="1"/>
    <col min="8" max="8" width="8.00390625" style="5" customWidth="1"/>
    <col min="9" max="9" width="1.57421875" style="5" customWidth="1"/>
    <col min="10" max="10" width="14.8515625" style="5" customWidth="1"/>
    <col min="11" max="11" width="11.7109375" style="5" customWidth="1"/>
    <col min="12" max="13" width="9.140625" style="331" customWidth="1"/>
    <col min="14" max="14" width="6.57421875" style="331" hidden="1" customWidth="1"/>
    <col min="15" max="15" width="9.140625" style="331" customWidth="1"/>
    <col min="16" max="16" width="0" style="331" hidden="1" customWidth="1"/>
    <col min="17" max="97" width="9.140625" style="331" customWidth="1"/>
    <col min="98" max="16384" width="9.140625" style="5" customWidth="1"/>
  </cols>
  <sheetData>
    <row r="1" s="331" customFormat="1" ht="15"/>
    <row r="2" spans="2:11" ht="19.5">
      <c r="B2" s="588" t="str">
        <f>CONCATENATE("Proceeding of ",DATA!O145," ,",DATA!P145," ,",DATA!M18)</f>
        <v>Proceeding of Mandal Development  Officer ,Mandal Parishad ,Tuggali</v>
      </c>
      <c r="C2" s="588"/>
      <c r="D2" s="588"/>
      <c r="E2" s="588"/>
      <c r="F2" s="588"/>
      <c r="G2" s="588"/>
      <c r="H2" s="588"/>
      <c r="I2" s="588"/>
      <c r="J2" s="588"/>
      <c r="K2" s="588"/>
    </row>
    <row r="3" spans="2:11" ht="15.75">
      <c r="B3" s="591" t="str">
        <f>CONCATENATE("Present : ",DATA!U131," ",DATA!E15," ,",DATA!O152,".",",",DATA!P152,".")</f>
        <v>Present : Sri. T.V.Sreeenivasulu ,B.Sc. .,B.Ed..</v>
      </c>
      <c r="C3" s="591"/>
      <c r="D3" s="591"/>
      <c r="E3" s="591"/>
      <c r="F3" s="591"/>
      <c r="G3" s="591"/>
      <c r="H3" s="591"/>
      <c r="I3" s="591"/>
      <c r="J3" s="591"/>
      <c r="K3" s="591"/>
    </row>
    <row r="4" spans="2:13" ht="15">
      <c r="B4" s="45" t="s">
        <v>425</v>
      </c>
      <c r="C4" s="45"/>
      <c r="D4" s="45"/>
      <c r="E4" s="45"/>
      <c r="F4" s="45"/>
      <c r="G4" s="45"/>
      <c r="H4" s="45"/>
      <c r="I4" s="45" t="s">
        <v>153</v>
      </c>
      <c r="J4" s="45"/>
      <c r="K4" s="45"/>
      <c r="M4" s="333"/>
    </row>
    <row r="5" spans="2:13" ht="15">
      <c r="B5" s="45"/>
      <c r="C5" s="45"/>
      <c r="D5" s="45"/>
      <c r="E5" s="45"/>
      <c r="F5" s="45"/>
      <c r="G5" s="45"/>
      <c r="H5" s="45"/>
      <c r="I5" s="45"/>
      <c r="J5" s="45"/>
      <c r="K5" s="45"/>
      <c r="M5" s="333"/>
    </row>
    <row r="6" spans="2:16" ht="23.25" customHeight="1">
      <c r="B6" s="45"/>
      <c r="C6" s="122" t="s">
        <v>70</v>
      </c>
      <c r="D6" s="589" t="str">
        <f>CONCATENATE(P6,"- Modified Automatic Advancement Scheme - Pay Fixation of  ",DATA!T131,DATA!E3,", ",DATA!V121,",",DATA!T149," ,",DATA!D8,"  in  "&amp;DATA!O190,"   Scale  ",,DATA!V122," cadre "," - ","Orders - Issued.")</f>
        <v>TGSESS- Modified Automatic Advancement Scheme - Pay Fixation of  Sri.K.Chandra sekhar, Sr.Asst.,Mandal Parishad ,Jonnagiri  in  SPP-IA   Scale  Sr.Asst. cadre  - Orders - Issued.</v>
      </c>
      <c r="E6" s="589"/>
      <c r="F6" s="589"/>
      <c r="G6" s="589"/>
      <c r="H6" s="589"/>
      <c r="I6" s="589"/>
      <c r="J6" s="589"/>
      <c r="K6" s="589"/>
      <c r="L6" s="334"/>
      <c r="P6" s="331" t="str">
        <f>IF(DATA!AD127=1,"APSESS","TGSESS")</f>
        <v>TGSESS</v>
      </c>
    </row>
    <row r="7" spans="2:12" ht="21" customHeight="1">
      <c r="B7" s="45"/>
      <c r="C7" s="45"/>
      <c r="D7" s="589"/>
      <c r="E7" s="589"/>
      <c r="F7" s="589"/>
      <c r="G7" s="589"/>
      <c r="H7" s="589"/>
      <c r="I7" s="589"/>
      <c r="J7" s="589"/>
      <c r="K7" s="589"/>
      <c r="L7" s="334"/>
    </row>
    <row r="8" spans="2:12" ht="8.25" customHeight="1">
      <c r="B8" s="45"/>
      <c r="C8" s="45"/>
      <c r="D8" s="116"/>
      <c r="E8" s="116"/>
      <c r="F8" s="116"/>
      <c r="G8" s="116"/>
      <c r="H8" s="116"/>
      <c r="I8" s="116"/>
      <c r="J8" s="116"/>
      <c r="K8" s="116"/>
      <c r="L8" s="335"/>
    </row>
    <row r="9" spans="2:11" ht="18.75" customHeight="1">
      <c r="B9" s="45"/>
      <c r="C9" s="115" t="s">
        <v>71</v>
      </c>
      <c r="D9" s="45" t="s">
        <v>72</v>
      </c>
      <c r="E9" s="45"/>
      <c r="F9" s="45"/>
      <c r="G9" s="45"/>
      <c r="H9" s="45"/>
      <c r="I9" s="45"/>
      <c r="J9" s="45"/>
      <c r="K9" s="45"/>
    </row>
    <row r="10" spans="2:11" ht="15">
      <c r="B10" s="45"/>
      <c r="C10" s="45"/>
      <c r="D10" s="45" t="s">
        <v>73</v>
      </c>
      <c r="E10" s="45"/>
      <c r="F10" s="45"/>
      <c r="G10" s="45"/>
      <c r="H10" s="45"/>
      <c r="I10" s="45"/>
      <c r="J10" s="45"/>
      <c r="K10" s="45"/>
    </row>
    <row r="11" spans="2:11" ht="15">
      <c r="B11" s="45"/>
      <c r="C11" s="45"/>
      <c r="D11" s="45" t="s">
        <v>74</v>
      </c>
      <c r="E11" s="45"/>
      <c r="F11" s="45"/>
      <c r="G11" s="45"/>
      <c r="H11" s="45"/>
      <c r="I11" s="45"/>
      <c r="J11" s="45"/>
      <c r="K11" s="45"/>
    </row>
    <row r="12" spans="2:11" ht="15">
      <c r="B12" s="45"/>
      <c r="C12" s="45"/>
      <c r="D12" s="45" t="s">
        <v>75</v>
      </c>
      <c r="E12" s="45"/>
      <c r="F12" s="45"/>
      <c r="G12" s="45"/>
      <c r="H12" s="45"/>
      <c r="I12" s="45"/>
      <c r="J12" s="45"/>
      <c r="K12" s="45"/>
    </row>
    <row r="13" spans="2:11" ht="10.5" customHeight="1">
      <c r="B13" s="45"/>
      <c r="C13" s="45"/>
      <c r="D13" s="590" t="s">
        <v>444</v>
      </c>
      <c r="E13" s="590"/>
      <c r="F13" s="590"/>
      <c r="G13" s="590"/>
      <c r="H13" s="590"/>
      <c r="I13" s="590"/>
      <c r="J13" s="590"/>
      <c r="K13" s="590"/>
    </row>
    <row r="14" spans="2:11" ht="12.75" customHeight="1">
      <c r="B14" s="593" t="s">
        <v>426</v>
      </c>
      <c r="C14" s="593"/>
      <c r="D14" s="45"/>
      <c r="E14" s="45"/>
      <c r="F14" s="45"/>
      <c r="G14" s="45"/>
      <c r="H14" s="45"/>
      <c r="I14" s="45"/>
      <c r="J14" s="45"/>
      <c r="K14" s="45"/>
    </row>
    <row r="15" spans="2:11" ht="18" customHeight="1">
      <c r="B15" s="45"/>
      <c r="C15" s="45"/>
      <c r="D15" s="589" t="str">
        <f>CONCATENATE("                           In accordance with G.O. 1st to 3rd cited above ",DATA!E3," ,",DATA!V121," , ",DATA!T149,", ",DATA!D8,"  on completion of ",DATA!Q190," years of service is hereby appointed into ",DATA!O190,"  in Automatic Advancement Scheme w.e.f.   ",DATA!AJ116," in the time scale of Pay  ",DATA!P190,"  in  ",DATA!V122," cadre Consequent on Completion of  ",DATA!Q190," years of Service. ",DATA!T132," was appointed into ",DATA!O190," post  w.e.f.  ",DATA!AJ116,"  and ",DATA!T133,"",N17)</f>
        <v>                           In accordance with G.O. 1st to 3rd cited above K.Chandra sekhar ,Sr.Asst. , Mandal Parishad, Jonnagiri  on completion of 12 years of service is hereby appointed into SPP-IA  in Automatic Advancement Scheme w.e.f.   21/01/2014 in the time scale of Pay  14860-39540  in  Sr.Asst. cadre Consequent on Completion of  12 years of Service.  He was appointed into SPP-IA post  w.e.f.  21/01/2014  and  his  Pay is fixed at Rs. 7300/-  in the time scale of  14860-39540.</v>
      </c>
      <c r="E15" s="589"/>
      <c r="F15" s="589"/>
      <c r="G15" s="589"/>
      <c r="H15" s="589"/>
      <c r="I15" s="589"/>
      <c r="J15" s="589"/>
      <c r="K15" s="589"/>
    </row>
    <row r="16" spans="2:11" ht="18" customHeight="1">
      <c r="B16" s="45"/>
      <c r="C16" s="45"/>
      <c r="D16" s="589"/>
      <c r="E16" s="589"/>
      <c r="F16" s="589"/>
      <c r="G16" s="589"/>
      <c r="H16" s="589"/>
      <c r="I16" s="589"/>
      <c r="J16" s="589"/>
      <c r="K16" s="589"/>
    </row>
    <row r="17" spans="2:14" ht="18" customHeight="1">
      <c r="B17" s="45"/>
      <c r="C17" s="45"/>
      <c r="D17" s="589"/>
      <c r="E17" s="589"/>
      <c r="F17" s="589"/>
      <c r="G17" s="589"/>
      <c r="H17" s="589"/>
      <c r="I17" s="589"/>
      <c r="J17" s="589"/>
      <c r="K17" s="589"/>
      <c r="N17" s="331" t="str">
        <f>CONCATENATE(" Pay is fixed at Rs. ",DATA!AC113,"/-","  in the time scale of  ",DATA!P190,".")</f>
        <v> Pay is fixed at Rs. 7300/-  in the time scale of  14860-39540.</v>
      </c>
    </row>
    <row r="18" spans="2:11" ht="18" customHeight="1">
      <c r="B18" s="45"/>
      <c r="C18" s="45"/>
      <c r="D18" s="589"/>
      <c r="E18" s="589"/>
      <c r="F18" s="589"/>
      <c r="G18" s="589"/>
      <c r="H18" s="589"/>
      <c r="I18" s="589"/>
      <c r="J18" s="589"/>
      <c r="K18" s="589"/>
    </row>
    <row r="19" spans="2:11" ht="18" customHeight="1">
      <c r="B19" s="45"/>
      <c r="C19" s="45"/>
      <c r="D19" s="589"/>
      <c r="E19" s="589"/>
      <c r="F19" s="589"/>
      <c r="G19" s="589"/>
      <c r="H19" s="589"/>
      <c r="I19" s="589"/>
      <c r="J19" s="589"/>
      <c r="K19" s="589"/>
    </row>
    <row r="20" spans="2:11" ht="15">
      <c r="B20" s="45"/>
      <c r="C20" s="45"/>
      <c r="D20" s="45"/>
      <c r="E20" s="45"/>
      <c r="F20" s="45"/>
      <c r="G20" s="45"/>
      <c r="H20" s="45"/>
      <c r="I20" s="45"/>
      <c r="J20" s="45"/>
      <c r="K20" s="45"/>
    </row>
    <row r="21" spans="1:97" s="120" customFormat="1" ht="18" customHeight="1">
      <c r="A21" s="332"/>
      <c r="B21" s="117"/>
      <c r="C21" s="118">
        <v>1</v>
      </c>
      <c r="D21" s="117" t="s">
        <v>396</v>
      </c>
      <c r="E21" s="117"/>
      <c r="F21" s="117"/>
      <c r="G21" s="117"/>
      <c r="H21" s="117"/>
      <c r="I21" s="119" t="s">
        <v>76</v>
      </c>
      <c r="J21" s="117" t="str">
        <f>CONCATENATE(DATA!T131,DATA!E3)</f>
        <v>Sri.K.Chandra sekhar</v>
      </c>
      <c r="K21" s="117"/>
      <c r="L21" s="332"/>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2"/>
      <c r="AM21" s="332"/>
      <c r="AN21" s="332"/>
      <c r="AO21" s="332"/>
      <c r="AP21" s="332"/>
      <c r="AQ21" s="332"/>
      <c r="AR21" s="332"/>
      <c r="AS21" s="332"/>
      <c r="AT21" s="332"/>
      <c r="AU21" s="332"/>
      <c r="AV21" s="332"/>
      <c r="AW21" s="332"/>
      <c r="AX21" s="332"/>
      <c r="AY21" s="332"/>
      <c r="AZ21" s="332"/>
      <c r="BA21" s="332"/>
      <c r="BB21" s="332"/>
      <c r="BC21" s="332"/>
      <c r="BD21" s="332"/>
      <c r="BE21" s="332"/>
      <c r="BF21" s="332"/>
      <c r="BG21" s="332"/>
      <c r="BH21" s="332"/>
      <c r="BI21" s="332"/>
      <c r="BJ21" s="332"/>
      <c r="BK21" s="332"/>
      <c r="BL21" s="332"/>
      <c r="BM21" s="332"/>
      <c r="BN21" s="332"/>
      <c r="BO21" s="332"/>
      <c r="BP21" s="332"/>
      <c r="BQ21" s="332"/>
      <c r="BR21" s="332"/>
      <c r="BS21" s="332"/>
      <c r="BT21" s="332"/>
      <c r="BU21" s="332"/>
      <c r="BV21" s="332"/>
      <c r="BW21" s="332"/>
      <c r="BX21" s="332"/>
      <c r="BY21" s="332"/>
      <c r="BZ21" s="332"/>
      <c r="CA21" s="332"/>
      <c r="CB21" s="332"/>
      <c r="CC21" s="332"/>
      <c r="CD21" s="332"/>
      <c r="CE21" s="332"/>
      <c r="CF21" s="332"/>
      <c r="CG21" s="332"/>
      <c r="CH21" s="332"/>
      <c r="CI21" s="332"/>
      <c r="CJ21" s="332"/>
      <c r="CK21" s="332"/>
      <c r="CL21" s="332"/>
      <c r="CM21" s="332"/>
      <c r="CN21" s="332"/>
      <c r="CO21" s="332"/>
      <c r="CP21" s="332"/>
      <c r="CQ21" s="332"/>
      <c r="CR21" s="332"/>
      <c r="CS21" s="332"/>
    </row>
    <row r="22" spans="1:97" s="120" customFormat="1" ht="18" customHeight="1">
      <c r="A22" s="332"/>
      <c r="B22" s="117"/>
      <c r="C22" s="118">
        <v>2</v>
      </c>
      <c r="D22" s="117" t="s">
        <v>0</v>
      </c>
      <c r="E22" s="117"/>
      <c r="F22" s="117"/>
      <c r="G22" s="117"/>
      <c r="H22" s="117"/>
      <c r="I22" s="119" t="s">
        <v>76</v>
      </c>
      <c r="J22" s="117" t="str">
        <f>DATA!V121</f>
        <v>Sr.Asst.</v>
      </c>
      <c r="K22" s="117"/>
      <c r="L22" s="332"/>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2"/>
      <c r="AM22" s="332"/>
      <c r="AN22" s="332"/>
      <c r="AO22" s="332"/>
      <c r="AP22" s="332"/>
      <c r="AQ22" s="332"/>
      <c r="AR22" s="332"/>
      <c r="AS22" s="332"/>
      <c r="AT22" s="332"/>
      <c r="AU22" s="332"/>
      <c r="AV22" s="332"/>
      <c r="AW22" s="332"/>
      <c r="AX22" s="332"/>
      <c r="AY22" s="332"/>
      <c r="AZ22" s="332"/>
      <c r="BA22" s="332"/>
      <c r="BB22" s="332"/>
      <c r="BC22" s="332"/>
      <c r="BD22" s="332"/>
      <c r="BE22" s="332"/>
      <c r="BF22" s="332"/>
      <c r="BG22" s="332"/>
      <c r="BH22" s="332"/>
      <c r="BI22" s="332"/>
      <c r="BJ22" s="332"/>
      <c r="BK22" s="332"/>
      <c r="BL22" s="332"/>
      <c r="BM22" s="332"/>
      <c r="BN22" s="332"/>
      <c r="BO22" s="332"/>
      <c r="BP22" s="332"/>
      <c r="BQ22" s="332"/>
      <c r="BR22" s="332"/>
      <c r="BS22" s="332"/>
      <c r="BT22" s="332"/>
      <c r="BU22" s="332"/>
      <c r="BV22" s="332"/>
      <c r="BW22" s="332"/>
      <c r="BX22" s="332"/>
      <c r="BY22" s="332"/>
      <c r="BZ22" s="332"/>
      <c r="CA22" s="332"/>
      <c r="CB22" s="332"/>
      <c r="CC22" s="332"/>
      <c r="CD22" s="332"/>
      <c r="CE22" s="332"/>
      <c r="CF22" s="332"/>
      <c r="CG22" s="332"/>
      <c r="CH22" s="332"/>
      <c r="CI22" s="332"/>
      <c r="CJ22" s="332"/>
      <c r="CK22" s="332"/>
      <c r="CL22" s="332"/>
      <c r="CM22" s="332"/>
      <c r="CN22" s="332"/>
      <c r="CO22" s="332"/>
      <c r="CP22" s="332"/>
      <c r="CQ22" s="332"/>
      <c r="CR22" s="332"/>
      <c r="CS22" s="332"/>
    </row>
    <row r="23" spans="1:97" s="120" customFormat="1" ht="18" customHeight="1">
      <c r="A23" s="332"/>
      <c r="B23" s="117"/>
      <c r="C23" s="118">
        <v>3</v>
      </c>
      <c r="D23" s="117" t="s">
        <v>429</v>
      </c>
      <c r="E23" s="117"/>
      <c r="F23" s="117"/>
      <c r="G23" s="117"/>
      <c r="H23" s="117"/>
      <c r="I23" s="119" t="s">
        <v>76</v>
      </c>
      <c r="J23" s="117" t="str">
        <f>CONCATENATE(DATA!O151,".",",",DATA!P151,".")</f>
        <v>B.Sc.,B.Ed.</v>
      </c>
      <c r="K23" s="117"/>
      <c r="L23" s="332"/>
      <c r="M23" s="332"/>
      <c r="N23" s="332"/>
      <c r="O23" s="332"/>
      <c r="P23" s="332"/>
      <c r="Q23" s="332"/>
      <c r="R23" s="332"/>
      <c r="S23" s="332"/>
      <c r="T23" s="332"/>
      <c r="U23" s="332"/>
      <c r="V23" s="332"/>
      <c r="W23" s="332"/>
      <c r="X23" s="332"/>
      <c r="Y23" s="332"/>
      <c r="Z23" s="332"/>
      <c r="AA23" s="332"/>
      <c r="AB23" s="332"/>
      <c r="AC23" s="332"/>
      <c r="AD23" s="332"/>
      <c r="AE23" s="332"/>
      <c r="AF23" s="332"/>
      <c r="AG23" s="332"/>
      <c r="AH23" s="332"/>
      <c r="AI23" s="332"/>
      <c r="AJ23" s="332"/>
      <c r="AK23" s="332"/>
      <c r="AL23" s="332"/>
      <c r="AM23" s="332"/>
      <c r="AN23" s="332"/>
      <c r="AO23" s="332"/>
      <c r="AP23" s="332"/>
      <c r="AQ23" s="332"/>
      <c r="AR23" s="332"/>
      <c r="AS23" s="332"/>
      <c r="AT23" s="332"/>
      <c r="AU23" s="332"/>
      <c r="AV23" s="332"/>
      <c r="AW23" s="332"/>
      <c r="AX23" s="332"/>
      <c r="AY23" s="332"/>
      <c r="AZ23" s="332"/>
      <c r="BA23" s="332"/>
      <c r="BB23" s="332"/>
      <c r="BC23" s="332"/>
      <c r="BD23" s="332"/>
      <c r="BE23" s="332"/>
      <c r="BF23" s="332"/>
      <c r="BG23" s="332"/>
      <c r="BH23" s="332"/>
      <c r="BI23" s="332"/>
      <c r="BJ23" s="332"/>
      <c r="BK23" s="332"/>
      <c r="BL23" s="332"/>
      <c r="BM23" s="332"/>
      <c r="BN23" s="332"/>
      <c r="BO23" s="332"/>
      <c r="BP23" s="332"/>
      <c r="BQ23" s="332"/>
      <c r="BR23" s="332"/>
      <c r="BS23" s="332"/>
      <c r="BT23" s="332"/>
      <c r="BU23" s="332"/>
      <c r="BV23" s="332"/>
      <c r="BW23" s="332"/>
      <c r="BX23" s="332"/>
      <c r="BY23" s="332"/>
      <c r="BZ23" s="332"/>
      <c r="CA23" s="332"/>
      <c r="CB23" s="332"/>
      <c r="CC23" s="332"/>
      <c r="CD23" s="332"/>
      <c r="CE23" s="332"/>
      <c r="CF23" s="332"/>
      <c r="CG23" s="332"/>
      <c r="CH23" s="332"/>
      <c r="CI23" s="332"/>
      <c r="CJ23" s="332"/>
      <c r="CK23" s="332"/>
      <c r="CL23" s="332"/>
      <c r="CM23" s="332"/>
      <c r="CN23" s="332"/>
      <c r="CO23" s="332"/>
      <c r="CP23" s="332"/>
      <c r="CQ23" s="332"/>
      <c r="CR23" s="332"/>
      <c r="CS23" s="332"/>
    </row>
    <row r="24" spans="1:97" s="120" customFormat="1" ht="18" customHeight="1">
      <c r="A24" s="332"/>
      <c r="B24" s="117"/>
      <c r="C24" s="118">
        <v>4</v>
      </c>
      <c r="D24" s="117" t="s">
        <v>427</v>
      </c>
      <c r="E24" s="117"/>
      <c r="F24" s="117"/>
      <c r="G24" s="117"/>
      <c r="H24" s="117"/>
      <c r="I24" s="119" t="s">
        <v>76</v>
      </c>
      <c r="J24" s="117" t="str">
        <f>DATA!AK108</f>
        <v>21/01/2002</v>
      </c>
      <c r="K24" s="117"/>
      <c r="L24" s="332"/>
      <c r="M24" s="332"/>
      <c r="N24" s="332"/>
      <c r="O24" s="332"/>
      <c r="P24" s="332"/>
      <c r="Q24" s="332"/>
      <c r="R24" s="332"/>
      <c r="S24" s="332"/>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c r="AU24" s="332"/>
      <c r="AV24" s="332"/>
      <c r="AW24" s="332"/>
      <c r="AX24" s="332"/>
      <c r="AY24" s="332"/>
      <c r="AZ24" s="332"/>
      <c r="BA24" s="332"/>
      <c r="BB24" s="332"/>
      <c r="BC24" s="332"/>
      <c r="BD24" s="332"/>
      <c r="BE24" s="332"/>
      <c r="BF24" s="332"/>
      <c r="BG24" s="332"/>
      <c r="BH24" s="332"/>
      <c r="BI24" s="332"/>
      <c r="BJ24" s="332"/>
      <c r="BK24" s="332"/>
      <c r="BL24" s="332"/>
      <c r="BM24" s="332"/>
      <c r="BN24" s="332"/>
      <c r="BO24" s="332"/>
      <c r="BP24" s="332"/>
      <c r="BQ24" s="332"/>
      <c r="BR24" s="332"/>
      <c r="BS24" s="332"/>
      <c r="BT24" s="332"/>
      <c r="BU24" s="332"/>
      <c r="BV24" s="332"/>
      <c r="BW24" s="332"/>
      <c r="BX24" s="332"/>
      <c r="BY24" s="332"/>
      <c r="BZ24" s="332"/>
      <c r="CA24" s="332"/>
      <c r="CB24" s="332"/>
      <c r="CC24" s="332"/>
      <c r="CD24" s="332"/>
      <c r="CE24" s="332"/>
      <c r="CF24" s="332"/>
      <c r="CG24" s="332"/>
      <c r="CH24" s="332"/>
      <c r="CI24" s="332"/>
      <c r="CJ24" s="332"/>
      <c r="CK24" s="332"/>
      <c r="CL24" s="332"/>
      <c r="CM24" s="332"/>
      <c r="CN24" s="332"/>
      <c r="CO24" s="332"/>
      <c r="CP24" s="332"/>
      <c r="CQ24" s="332"/>
      <c r="CR24" s="332"/>
      <c r="CS24" s="332"/>
    </row>
    <row r="25" spans="1:97" s="120" customFormat="1" ht="18" customHeight="1">
      <c r="A25" s="332"/>
      <c r="B25" s="117"/>
      <c r="C25" s="118">
        <v>5</v>
      </c>
      <c r="D25" s="117" t="str">
        <f>CONCATENATE("No. of Days  E.O.L Availed during ",DATA!Q190," years service")</f>
        <v>No. of Days  E.O.L Availed during 12 years service</v>
      </c>
      <c r="E25" s="117"/>
      <c r="F25" s="117"/>
      <c r="G25" s="117"/>
      <c r="H25" s="117"/>
      <c r="I25" s="119" t="s">
        <v>76</v>
      </c>
      <c r="J25" s="117" t="str">
        <f>CONCATENATE(DATA!Z105," days")</f>
        <v>0 days</v>
      </c>
      <c r="K25" s="117"/>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c r="AU25" s="332"/>
      <c r="AV25" s="332"/>
      <c r="AW25" s="332"/>
      <c r="AX25" s="332"/>
      <c r="AY25" s="332"/>
      <c r="AZ25" s="332"/>
      <c r="BA25" s="332"/>
      <c r="BB25" s="332"/>
      <c r="BC25" s="332"/>
      <c r="BD25" s="332"/>
      <c r="BE25" s="332"/>
      <c r="BF25" s="332"/>
      <c r="BG25" s="332"/>
      <c r="BH25" s="332"/>
      <c r="BI25" s="332"/>
      <c r="BJ25" s="332"/>
      <c r="BK25" s="332"/>
      <c r="BL25" s="332"/>
      <c r="BM25" s="332"/>
      <c r="BN25" s="332"/>
      <c r="BO25" s="332"/>
      <c r="BP25" s="332"/>
      <c r="BQ25" s="332"/>
      <c r="BR25" s="332"/>
      <c r="BS25" s="332"/>
      <c r="BT25" s="332"/>
      <c r="BU25" s="332"/>
      <c r="BV25" s="332"/>
      <c r="BW25" s="332"/>
      <c r="BX25" s="332"/>
      <c r="BY25" s="332"/>
      <c r="BZ25" s="332"/>
      <c r="CA25" s="332"/>
      <c r="CB25" s="332"/>
      <c r="CC25" s="332"/>
      <c r="CD25" s="332"/>
      <c r="CE25" s="332"/>
      <c r="CF25" s="332"/>
      <c r="CG25" s="332"/>
      <c r="CH25" s="332"/>
      <c r="CI25" s="332"/>
      <c r="CJ25" s="332"/>
      <c r="CK25" s="332"/>
      <c r="CL25" s="332"/>
      <c r="CM25" s="332"/>
      <c r="CN25" s="332"/>
      <c r="CO25" s="332"/>
      <c r="CP25" s="332"/>
      <c r="CQ25" s="332"/>
      <c r="CR25" s="332"/>
      <c r="CS25" s="332"/>
    </row>
    <row r="26" spans="1:97" s="120" customFormat="1" ht="18" customHeight="1">
      <c r="A26" s="332"/>
      <c r="B26" s="117"/>
      <c r="C26" s="118">
        <v>6</v>
      </c>
      <c r="D26" s="117" t="s">
        <v>430</v>
      </c>
      <c r="E26" s="117"/>
      <c r="F26" s="117"/>
      <c r="G26" s="117"/>
      <c r="H26" s="117"/>
      <c r="I26" s="119" t="s">
        <v>76</v>
      </c>
      <c r="J26" s="117" t="str">
        <f>DATA!P149</f>
        <v>Yes</v>
      </c>
      <c r="K26" s="117"/>
      <c r="L26" s="332"/>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c r="AU26" s="332"/>
      <c r="AV26" s="332"/>
      <c r="AW26" s="332"/>
      <c r="AX26" s="332"/>
      <c r="AY26" s="332"/>
      <c r="AZ26" s="332"/>
      <c r="BA26" s="332"/>
      <c r="BB26" s="332"/>
      <c r="BC26" s="332"/>
      <c r="BD26" s="332"/>
      <c r="BE26" s="332"/>
      <c r="BF26" s="332"/>
      <c r="BG26" s="332"/>
      <c r="BH26" s="332"/>
      <c r="BI26" s="332"/>
      <c r="BJ26" s="332"/>
      <c r="BK26" s="332"/>
      <c r="BL26" s="332"/>
      <c r="BM26" s="332"/>
      <c r="BN26" s="332"/>
      <c r="BO26" s="332"/>
      <c r="BP26" s="332"/>
      <c r="BQ26" s="332"/>
      <c r="BR26" s="332"/>
      <c r="BS26" s="332"/>
      <c r="BT26" s="332"/>
      <c r="BU26" s="332"/>
      <c r="BV26" s="332"/>
      <c r="BW26" s="332"/>
      <c r="BX26" s="332"/>
      <c r="BY26" s="332"/>
      <c r="BZ26" s="332"/>
      <c r="CA26" s="332"/>
      <c r="CB26" s="332"/>
      <c r="CC26" s="332"/>
      <c r="CD26" s="332"/>
      <c r="CE26" s="332"/>
      <c r="CF26" s="332"/>
      <c r="CG26" s="332"/>
      <c r="CH26" s="332"/>
      <c r="CI26" s="332"/>
      <c r="CJ26" s="332"/>
      <c r="CK26" s="332"/>
      <c r="CL26" s="332"/>
      <c r="CM26" s="332"/>
      <c r="CN26" s="332"/>
      <c r="CO26" s="332"/>
      <c r="CP26" s="332"/>
      <c r="CQ26" s="332"/>
      <c r="CR26" s="332"/>
      <c r="CS26" s="332"/>
    </row>
    <row r="27" spans="1:97" s="120" customFormat="1" ht="18" customHeight="1">
      <c r="A27" s="332"/>
      <c r="B27" s="117"/>
      <c r="C27" s="118">
        <v>7</v>
      </c>
      <c r="D27" s="117" t="str">
        <f>CONCATENATE("Date of Completion of  ",DATA!Q190," years service in the Cadre")</f>
        <v>Date of Completion of  12 years service in the Cadre</v>
      </c>
      <c r="E27" s="117"/>
      <c r="F27" s="117"/>
      <c r="G27" s="117"/>
      <c r="H27" s="117"/>
      <c r="I27" s="119" t="s">
        <v>76</v>
      </c>
      <c r="J27" s="117" t="str">
        <f>DATA!AN111</f>
        <v>20/01/2014</v>
      </c>
      <c r="K27" s="117"/>
      <c r="L27" s="332"/>
      <c r="M27" s="332"/>
      <c r="N27" s="332"/>
      <c r="O27" s="332"/>
      <c r="P27" s="332"/>
      <c r="Q27" s="332"/>
      <c r="R27" s="332"/>
      <c r="S27" s="332"/>
      <c r="T27" s="332"/>
      <c r="U27" s="332"/>
      <c r="V27" s="332"/>
      <c r="W27" s="332"/>
      <c r="X27" s="332"/>
      <c r="Y27" s="332"/>
      <c r="Z27" s="332"/>
      <c r="AA27" s="332"/>
      <c r="AB27" s="332"/>
      <c r="AC27" s="332"/>
      <c r="AD27" s="332"/>
      <c r="AE27" s="332"/>
      <c r="AF27" s="332"/>
      <c r="AG27" s="332"/>
      <c r="AH27" s="332"/>
      <c r="AI27" s="332"/>
      <c r="AJ27" s="332"/>
      <c r="AK27" s="332"/>
      <c r="AL27" s="332"/>
      <c r="AM27" s="332"/>
      <c r="AN27" s="332"/>
      <c r="AO27" s="332"/>
      <c r="AP27" s="332"/>
      <c r="AQ27" s="332"/>
      <c r="AR27" s="332"/>
      <c r="AS27" s="332"/>
      <c r="AT27" s="332"/>
      <c r="AU27" s="332"/>
      <c r="AV27" s="332"/>
      <c r="AW27" s="332"/>
      <c r="AX27" s="332"/>
      <c r="AY27" s="332"/>
      <c r="AZ27" s="332"/>
      <c r="BA27" s="332"/>
      <c r="BB27" s="332"/>
      <c r="BC27" s="332"/>
      <c r="BD27" s="332"/>
      <c r="BE27" s="332"/>
      <c r="BF27" s="332"/>
      <c r="BG27" s="332"/>
      <c r="BH27" s="332"/>
      <c r="BI27" s="332"/>
      <c r="BJ27" s="332"/>
      <c r="BK27" s="332"/>
      <c r="BL27" s="332"/>
      <c r="BM27" s="332"/>
      <c r="BN27" s="332"/>
      <c r="BO27" s="332"/>
      <c r="BP27" s="332"/>
      <c r="BQ27" s="332"/>
      <c r="BR27" s="332"/>
      <c r="BS27" s="332"/>
      <c r="BT27" s="332"/>
      <c r="BU27" s="332"/>
      <c r="BV27" s="332"/>
      <c r="BW27" s="332"/>
      <c r="BX27" s="332"/>
      <c r="BY27" s="332"/>
      <c r="BZ27" s="332"/>
      <c r="CA27" s="332"/>
      <c r="CB27" s="332"/>
      <c r="CC27" s="332"/>
      <c r="CD27" s="332"/>
      <c r="CE27" s="332"/>
      <c r="CF27" s="332"/>
      <c r="CG27" s="332"/>
      <c r="CH27" s="332"/>
      <c r="CI27" s="332"/>
      <c r="CJ27" s="332"/>
      <c r="CK27" s="332"/>
      <c r="CL27" s="332"/>
      <c r="CM27" s="332"/>
      <c r="CN27" s="332"/>
      <c r="CO27" s="332"/>
      <c r="CP27" s="332"/>
      <c r="CQ27" s="332"/>
      <c r="CR27" s="332"/>
      <c r="CS27" s="332"/>
    </row>
    <row r="28" spans="1:97" s="120" customFormat="1" ht="18" customHeight="1">
      <c r="A28" s="332"/>
      <c r="B28" s="117"/>
      <c r="C28" s="118">
        <v>8</v>
      </c>
      <c r="D28" s="117" t="str">
        <f>CONCATENATE("Date of Appointment in the  ",DATA!O190," Post")</f>
        <v>Date of Appointment in the  SPP-IA Post</v>
      </c>
      <c r="E28" s="117"/>
      <c r="F28" s="117"/>
      <c r="G28" s="117"/>
      <c r="H28" s="117"/>
      <c r="I28" s="119" t="s">
        <v>76</v>
      </c>
      <c r="J28" s="117" t="str">
        <f>DATA!AJ116</f>
        <v>21/01/2014</v>
      </c>
      <c r="K28" s="117"/>
      <c r="L28" s="332"/>
      <c r="M28" s="332"/>
      <c r="N28" s="332"/>
      <c r="O28" s="332"/>
      <c r="P28" s="332"/>
      <c r="Q28" s="332"/>
      <c r="R28" s="332"/>
      <c r="S28" s="332"/>
      <c r="T28" s="332"/>
      <c r="U28" s="332"/>
      <c r="V28" s="332"/>
      <c r="W28" s="332"/>
      <c r="X28" s="332"/>
      <c r="Y28" s="332"/>
      <c r="Z28" s="332"/>
      <c r="AA28" s="332"/>
      <c r="AB28" s="332"/>
      <c r="AC28" s="332"/>
      <c r="AD28" s="332"/>
      <c r="AE28" s="332"/>
      <c r="AF28" s="332"/>
      <c r="AG28" s="332"/>
      <c r="AH28" s="332"/>
      <c r="AI28" s="332"/>
      <c r="AJ28" s="332"/>
      <c r="AK28" s="332"/>
      <c r="AL28" s="332"/>
      <c r="AM28" s="332"/>
      <c r="AN28" s="332"/>
      <c r="AO28" s="332"/>
      <c r="AP28" s="332"/>
      <c r="AQ28" s="332"/>
      <c r="AR28" s="332"/>
      <c r="AS28" s="332"/>
      <c r="AT28" s="332"/>
      <c r="AU28" s="332"/>
      <c r="AV28" s="332"/>
      <c r="AW28" s="332"/>
      <c r="AX28" s="332"/>
      <c r="AY28" s="332"/>
      <c r="AZ28" s="332"/>
      <c r="BA28" s="332"/>
      <c r="BB28" s="332"/>
      <c r="BC28" s="332"/>
      <c r="BD28" s="332"/>
      <c r="BE28" s="332"/>
      <c r="BF28" s="332"/>
      <c r="BG28" s="332"/>
      <c r="BH28" s="332"/>
      <c r="BI28" s="332"/>
      <c r="BJ28" s="332"/>
      <c r="BK28" s="332"/>
      <c r="BL28" s="332"/>
      <c r="BM28" s="332"/>
      <c r="BN28" s="332"/>
      <c r="BO28" s="332"/>
      <c r="BP28" s="332"/>
      <c r="BQ28" s="332"/>
      <c r="BR28" s="332"/>
      <c r="BS28" s="332"/>
      <c r="BT28" s="332"/>
      <c r="BU28" s="332"/>
      <c r="BV28" s="332"/>
      <c r="BW28" s="332"/>
      <c r="BX28" s="332"/>
      <c r="BY28" s="332"/>
      <c r="BZ28" s="332"/>
      <c r="CA28" s="332"/>
      <c r="CB28" s="332"/>
      <c r="CC28" s="332"/>
      <c r="CD28" s="332"/>
      <c r="CE28" s="332"/>
      <c r="CF28" s="332"/>
      <c r="CG28" s="332"/>
      <c r="CH28" s="332"/>
      <c r="CI28" s="332"/>
      <c r="CJ28" s="332"/>
      <c r="CK28" s="332"/>
      <c r="CL28" s="332"/>
      <c r="CM28" s="332"/>
      <c r="CN28" s="332"/>
      <c r="CO28" s="332"/>
      <c r="CP28" s="332"/>
      <c r="CQ28" s="332"/>
      <c r="CR28" s="332"/>
      <c r="CS28" s="332"/>
    </row>
    <row r="29" spans="2:11" ht="30" customHeight="1">
      <c r="B29" s="45"/>
      <c r="C29" s="121">
        <v>9</v>
      </c>
      <c r="D29" s="589" t="str">
        <f>CONCATENATE(" Pay as on date of Completion of  ",DATA!Q190," years service &amp; Scale of Pay")</f>
        <v> Pay as on date of Completion of  12 years service &amp; Scale of Pay</v>
      </c>
      <c r="E29" s="589"/>
      <c r="F29" s="589"/>
      <c r="G29" s="589"/>
      <c r="H29" s="45"/>
      <c r="I29" s="119" t="s">
        <v>76</v>
      </c>
      <c r="J29" s="117" t="str">
        <f>CONCATENATE(DATA!AB111," / ",DATA!R190)</f>
        <v>7100 / 11860-34050</v>
      </c>
      <c r="K29" s="45"/>
    </row>
    <row r="30" spans="2:11" ht="30" customHeight="1">
      <c r="B30" s="45"/>
      <c r="C30" s="121">
        <v>10</v>
      </c>
      <c r="D30" s="589" t="str">
        <f>CONCATENATE("Pay fixed in the  ",DATA!Q190," years Scale of Pay as par FR 22a(i) and Scale of Pay ")</f>
        <v>Pay fixed in the  12 years Scale of Pay as par FR 22a(i) and Scale of Pay </v>
      </c>
      <c r="E30" s="589"/>
      <c r="F30" s="589"/>
      <c r="G30" s="589"/>
      <c r="H30" s="45"/>
      <c r="I30" s="119" t="s">
        <v>76</v>
      </c>
      <c r="J30" s="117" t="str">
        <f>CONCATENATE(DATA!AC113," / ",DATA!P190)</f>
        <v>7300 / 14860-39540</v>
      </c>
      <c r="K30" s="45"/>
    </row>
    <row r="31" spans="2:11" ht="18" customHeight="1">
      <c r="B31" s="45"/>
      <c r="C31" s="121">
        <v>11</v>
      </c>
      <c r="D31" s="54" t="s">
        <v>428</v>
      </c>
      <c r="E31" s="45"/>
      <c r="F31" s="45"/>
      <c r="G31" s="45"/>
      <c r="H31" s="45"/>
      <c r="I31" s="119" t="s">
        <v>76</v>
      </c>
      <c r="J31" s="153" t="str">
        <f>DATA!T137</f>
        <v>1/9/2016</v>
      </c>
      <c r="K31" s="45"/>
    </row>
    <row r="32" spans="2:11" ht="15">
      <c r="B32" s="45"/>
      <c r="C32" s="45"/>
      <c r="D32" s="45"/>
      <c r="E32" s="45"/>
      <c r="F32" s="45"/>
      <c r="G32" s="45"/>
      <c r="H32" s="45"/>
      <c r="I32" s="45"/>
      <c r="J32" s="45"/>
      <c r="K32" s="45"/>
    </row>
    <row r="33" spans="2:11" ht="10.5" customHeight="1">
      <c r="B33" s="45"/>
      <c r="C33" s="45"/>
      <c r="D33" s="45"/>
      <c r="E33" s="45"/>
      <c r="F33" s="45"/>
      <c r="G33" s="45"/>
      <c r="H33" s="45"/>
      <c r="I33" s="45"/>
      <c r="J33" s="45"/>
      <c r="K33" s="45"/>
    </row>
    <row r="34" spans="2:11" ht="15" customHeight="1">
      <c r="B34" s="45"/>
      <c r="C34" s="589" t="str">
        <f>CONCATENATE("                      ","Certified that necessary entries were made in the Service Register of the individual. The individual is informed that if any excess amount paid due to erroneous sanction noticed during the course of audit such amount shall be recovered in lump sum from  ",DATA!T133," pay bills without any prior notice.")</f>
        <v>                      Certified that necessary entries were made in the Service Register of the individual. The individual is informed that if any excess amount paid due to erroneous sanction noticed during the course of audit such amount shall be recovered in lump sum from   his  pay bills without any prior notice.</v>
      </c>
      <c r="D34" s="589"/>
      <c r="E34" s="589"/>
      <c r="F34" s="589"/>
      <c r="G34" s="589"/>
      <c r="H34" s="589"/>
      <c r="I34" s="589"/>
      <c r="J34" s="589"/>
      <c r="K34" s="589"/>
    </row>
    <row r="35" spans="2:12" ht="15" customHeight="1">
      <c r="B35" s="45"/>
      <c r="C35" s="589"/>
      <c r="D35" s="589"/>
      <c r="E35" s="589"/>
      <c r="F35" s="589"/>
      <c r="G35" s="589"/>
      <c r="H35" s="589"/>
      <c r="I35" s="589"/>
      <c r="J35" s="589"/>
      <c r="K35" s="589"/>
      <c r="L35" s="336"/>
    </row>
    <row r="36" spans="2:12" ht="15">
      <c r="B36" s="45"/>
      <c r="C36" s="589"/>
      <c r="D36" s="589"/>
      <c r="E36" s="589"/>
      <c r="F36" s="589"/>
      <c r="G36" s="589"/>
      <c r="H36" s="589"/>
      <c r="I36" s="589"/>
      <c r="J36" s="589"/>
      <c r="K36" s="589"/>
      <c r="L36" s="336"/>
    </row>
    <row r="37" spans="2:12" ht="15">
      <c r="B37" s="45"/>
      <c r="C37" s="589"/>
      <c r="D37" s="589"/>
      <c r="E37" s="589"/>
      <c r="F37" s="589"/>
      <c r="G37" s="589"/>
      <c r="H37" s="589"/>
      <c r="I37" s="589"/>
      <c r="J37" s="589"/>
      <c r="K37" s="589"/>
      <c r="L37" s="336"/>
    </row>
    <row r="38" spans="2:12" ht="15">
      <c r="B38" s="45"/>
      <c r="C38" s="45"/>
      <c r="D38" s="64"/>
      <c r="E38" s="64"/>
      <c r="F38" s="64"/>
      <c r="G38" s="64"/>
      <c r="H38" s="64"/>
      <c r="I38" s="64"/>
      <c r="J38" s="64"/>
      <c r="K38" s="64"/>
      <c r="L38" s="337"/>
    </row>
    <row r="39" spans="2:12" ht="15">
      <c r="B39" s="45"/>
      <c r="C39" s="45"/>
      <c r="D39" s="64"/>
      <c r="E39" s="64"/>
      <c r="F39" s="64"/>
      <c r="G39" s="64"/>
      <c r="H39" s="64"/>
      <c r="I39" s="64"/>
      <c r="J39" s="64"/>
      <c r="K39" s="64"/>
      <c r="L39" s="337"/>
    </row>
    <row r="40" spans="2:11" ht="15">
      <c r="B40" s="45"/>
      <c r="C40" s="45"/>
      <c r="D40" s="45"/>
      <c r="E40" s="45"/>
      <c r="F40" s="45"/>
      <c r="G40" s="45"/>
      <c r="H40" s="592" t="str">
        <f>DATA!O145</f>
        <v>Mandal Development  Officer</v>
      </c>
      <c r="I40" s="592"/>
      <c r="J40" s="592"/>
      <c r="K40" s="45"/>
    </row>
    <row r="41" spans="2:11" ht="15">
      <c r="B41" s="45"/>
      <c r="C41" s="45"/>
      <c r="D41" s="45"/>
      <c r="E41" s="45"/>
      <c r="F41" s="45"/>
      <c r="G41" s="592" t="str">
        <f>CONCATENATE(DATA!D19," ,",DATA!M18,".")</f>
        <v>Mandal Education Officer ,Tuggali.</v>
      </c>
      <c r="H41" s="592"/>
      <c r="I41" s="592"/>
      <c r="J41" s="592"/>
      <c r="K41" s="592"/>
    </row>
    <row r="42" spans="2:11" ht="15">
      <c r="B42" s="45" t="s">
        <v>431</v>
      </c>
      <c r="C42" s="45"/>
      <c r="D42" s="45"/>
      <c r="E42" s="45"/>
      <c r="F42" s="45"/>
      <c r="G42" s="45"/>
      <c r="H42" s="45"/>
      <c r="I42" s="45"/>
      <c r="J42" s="45"/>
      <c r="K42" s="45"/>
    </row>
    <row r="43" spans="2:11" ht="15">
      <c r="B43" s="45" t="s">
        <v>449</v>
      </c>
      <c r="C43" s="45"/>
      <c r="D43" s="45"/>
      <c r="E43" s="45"/>
      <c r="F43" s="45"/>
      <c r="G43" s="45"/>
      <c r="H43" s="45"/>
      <c r="I43" s="45"/>
      <c r="J43" s="45"/>
      <c r="K43" s="45"/>
    </row>
    <row r="44" spans="2:11" ht="15">
      <c r="B44" s="45" t="str">
        <f>CONCATENATE(2," ."&amp;DATA!I16)</f>
        <v>2 .STO, Pathikonda</v>
      </c>
      <c r="C44" s="45"/>
      <c r="D44" s="45"/>
      <c r="E44" s="45"/>
      <c r="F44" s="45"/>
      <c r="G44" s="45"/>
      <c r="H44" s="45"/>
      <c r="I44" s="45"/>
      <c r="J44" s="45"/>
      <c r="K44" s="45"/>
    </row>
    <row r="45" spans="2:11" ht="15">
      <c r="B45" s="45"/>
      <c r="C45" s="45"/>
      <c r="D45" s="45"/>
      <c r="E45" s="45"/>
      <c r="F45" s="45"/>
      <c r="G45" s="45"/>
      <c r="H45" s="45"/>
      <c r="I45" s="45"/>
      <c r="J45" s="45"/>
      <c r="K45" s="45"/>
    </row>
    <row r="46" spans="2:11" s="331" customFormat="1" ht="15">
      <c r="B46" s="338"/>
      <c r="C46" s="338"/>
      <c r="D46" s="338"/>
      <c r="E46" s="338"/>
      <c r="F46" s="338"/>
      <c r="G46" s="338"/>
      <c r="H46" s="338"/>
      <c r="I46" s="338"/>
      <c r="J46" s="338"/>
      <c r="K46" s="338"/>
    </row>
    <row r="47" spans="2:11" s="331" customFormat="1" ht="15">
      <c r="B47" s="338"/>
      <c r="C47" s="338"/>
      <c r="D47" s="338"/>
      <c r="E47" s="338"/>
      <c r="F47" s="338"/>
      <c r="G47" s="338"/>
      <c r="H47" s="338"/>
      <c r="I47" s="338"/>
      <c r="J47" s="338"/>
      <c r="K47" s="338"/>
    </row>
    <row r="48" spans="2:11" s="331" customFormat="1" ht="15">
      <c r="B48" s="338"/>
      <c r="C48" s="338"/>
      <c r="D48" s="338"/>
      <c r="E48" s="338"/>
      <c r="F48" s="338"/>
      <c r="G48" s="338"/>
      <c r="H48" s="338"/>
      <c r="I48" s="338"/>
      <c r="J48" s="338"/>
      <c r="K48" s="338"/>
    </row>
    <row r="49" spans="2:11" s="331" customFormat="1" ht="15">
      <c r="B49" s="338"/>
      <c r="C49" s="338"/>
      <c r="D49" s="338"/>
      <c r="E49" s="338"/>
      <c r="F49" s="338"/>
      <c r="G49" s="338"/>
      <c r="H49" s="338"/>
      <c r="I49" s="338"/>
      <c r="J49" s="338"/>
      <c r="K49" s="338"/>
    </row>
    <row r="50" s="331" customFormat="1" ht="15"/>
    <row r="51" s="331" customFormat="1" ht="15"/>
    <row r="52" s="331" customFormat="1" ht="15"/>
    <row r="53" s="331" customFormat="1" ht="15"/>
    <row r="54" s="331" customFormat="1" ht="15"/>
    <row r="55" s="331" customFormat="1" ht="15"/>
    <row r="56" s="331" customFormat="1" ht="15"/>
    <row r="57" s="331" customFormat="1" ht="15"/>
    <row r="58" s="331" customFormat="1" ht="15"/>
    <row r="59" s="331" customFormat="1" ht="15"/>
    <row r="60" s="331" customFormat="1" ht="15"/>
    <row r="61" s="331" customFormat="1" ht="15"/>
    <row r="62" s="331" customFormat="1" ht="15"/>
    <row r="63" s="331" customFormat="1" ht="15"/>
    <row r="64" s="331" customFormat="1" ht="15"/>
    <row r="65" s="331" customFormat="1" ht="15"/>
    <row r="66" s="331" customFormat="1" ht="15"/>
    <row r="67" s="331" customFormat="1" ht="15"/>
    <row r="68" s="331" customFormat="1" ht="15"/>
    <row r="69" s="331" customFormat="1" ht="15"/>
    <row r="70" s="331" customFormat="1" ht="15"/>
    <row r="71" s="331" customFormat="1" ht="15"/>
    <row r="72" s="331" customFormat="1" ht="15"/>
    <row r="73" s="331" customFormat="1" ht="15"/>
    <row r="74" s="331" customFormat="1" ht="15"/>
    <row r="75" s="331" customFormat="1" ht="15"/>
    <row r="76" s="331" customFormat="1" ht="15"/>
    <row r="77" s="331" customFormat="1" ht="15"/>
    <row r="78" s="331" customFormat="1" ht="15"/>
    <row r="79" s="331" customFormat="1" ht="15"/>
    <row r="80" s="331" customFormat="1" ht="15"/>
    <row r="81" s="331" customFormat="1" ht="15"/>
    <row r="82" s="331" customFormat="1" ht="15"/>
    <row r="83" s="331" customFormat="1" ht="15"/>
    <row r="84" s="331" customFormat="1" ht="15"/>
    <row r="85" s="331" customFormat="1" ht="15"/>
    <row r="86" s="331" customFormat="1" ht="15"/>
    <row r="87" s="331" customFormat="1" ht="15"/>
    <row r="88" s="331" customFormat="1" ht="15"/>
    <row r="89" s="331" customFormat="1" ht="15"/>
    <row r="90" s="331" customFormat="1" ht="15"/>
    <row r="91" s="331" customFormat="1" ht="15"/>
    <row r="92" s="331" customFormat="1" ht="15"/>
    <row r="93" s="331" customFormat="1" ht="15"/>
    <row r="94" s="331" customFormat="1" ht="15"/>
    <row r="95" s="331" customFormat="1" ht="15"/>
    <row r="96" s="331" customFormat="1" ht="15"/>
    <row r="97" s="331" customFormat="1" ht="15"/>
    <row r="98" s="331" customFormat="1" ht="15"/>
    <row r="99" s="331" customFormat="1" ht="15"/>
    <row r="100" s="331" customFormat="1" ht="15"/>
    <row r="101" s="331" customFormat="1" ht="15"/>
    <row r="102" s="331" customFormat="1" ht="15"/>
    <row r="103" s="331" customFormat="1" ht="15"/>
    <row r="104" s="331" customFormat="1" ht="15"/>
    <row r="105" s="331" customFormat="1" ht="15"/>
    <row r="106" s="331" customFormat="1" ht="15"/>
    <row r="107" s="331" customFormat="1" ht="15"/>
    <row r="108" s="331" customFormat="1" ht="15"/>
    <row r="109" s="331" customFormat="1" ht="15"/>
    <row r="110" s="331" customFormat="1" ht="15"/>
    <row r="111" s="331" customFormat="1" ht="15"/>
    <row r="112" s="331" customFormat="1" ht="15"/>
    <row r="113" s="331" customFormat="1" ht="15"/>
    <row r="114" s="331" customFormat="1" ht="15"/>
    <row r="115" s="331" customFormat="1" ht="15"/>
    <row r="116" s="331" customFormat="1" ht="15"/>
    <row r="117" s="331" customFormat="1" ht="15"/>
    <row r="118" s="331" customFormat="1" ht="15"/>
    <row r="119" s="331" customFormat="1" ht="15"/>
    <row r="120" s="331" customFormat="1" ht="15"/>
    <row r="121" s="331" customFormat="1" ht="15"/>
    <row r="122" s="331" customFormat="1" ht="15"/>
    <row r="123" s="331" customFormat="1" ht="15"/>
    <row r="124" s="331" customFormat="1" ht="15"/>
    <row r="125" s="331" customFormat="1" ht="15"/>
    <row r="126" s="331" customFormat="1" ht="15"/>
    <row r="127" s="331" customFormat="1" ht="15"/>
    <row r="128" s="331" customFormat="1" ht="15"/>
    <row r="129" s="331" customFormat="1" ht="15"/>
    <row r="130" s="331" customFormat="1" ht="15"/>
    <row r="131" s="331" customFormat="1" ht="15"/>
    <row r="132" s="331" customFormat="1" ht="15"/>
    <row r="133" s="331" customFormat="1" ht="15"/>
    <row r="134" s="331" customFormat="1" ht="15"/>
    <row r="135" s="331" customFormat="1" ht="15"/>
    <row r="136" s="331" customFormat="1" ht="15"/>
    <row r="137" s="331" customFormat="1" ht="15"/>
    <row r="138" s="331" customFormat="1" ht="15"/>
    <row r="139" s="331" customFormat="1" ht="15"/>
    <row r="140" s="331" customFormat="1" ht="15"/>
    <row r="141" s="331" customFormat="1" ht="15"/>
    <row r="142" s="331" customFormat="1" ht="15"/>
    <row r="143" s="331" customFormat="1" ht="15"/>
    <row r="144" s="331" customFormat="1" ht="15"/>
    <row r="145" s="331" customFormat="1" ht="15"/>
    <row r="146" s="331" customFormat="1" ht="15"/>
    <row r="147" s="331" customFormat="1" ht="15"/>
    <row r="148" s="331" customFormat="1" ht="15"/>
    <row r="149" s="331" customFormat="1" ht="15"/>
    <row r="150" s="331" customFormat="1" ht="15"/>
    <row r="151" s="331" customFormat="1" ht="15"/>
    <row r="152" s="331" customFormat="1" ht="15"/>
    <row r="153" s="331" customFormat="1" ht="15"/>
    <row r="154" s="331" customFormat="1" ht="15"/>
    <row r="155" s="331" customFormat="1" ht="15"/>
    <row r="156" s="331" customFormat="1" ht="15"/>
    <row r="157" s="331" customFormat="1" ht="15"/>
    <row r="158" s="331" customFormat="1" ht="15"/>
    <row r="159" s="331" customFormat="1" ht="15"/>
    <row r="160" s="331" customFormat="1" ht="15"/>
    <row r="161" s="331" customFormat="1" ht="15"/>
    <row r="162" s="331" customFormat="1" ht="15"/>
    <row r="163" s="331" customFormat="1" ht="15"/>
    <row r="164" s="331" customFormat="1" ht="15"/>
    <row r="165" s="331" customFormat="1" ht="15"/>
    <row r="166" s="331" customFormat="1" ht="15"/>
    <row r="167" s="331" customFormat="1" ht="15"/>
    <row r="168" s="331" customFormat="1" ht="15"/>
    <row r="169" s="331" customFormat="1" ht="15"/>
    <row r="170" s="331" customFormat="1" ht="15"/>
    <row r="171" s="331" customFormat="1" ht="15"/>
    <row r="172" s="331" customFormat="1" ht="15"/>
    <row r="173" s="331" customFormat="1" ht="15"/>
    <row r="174" s="331" customFormat="1" ht="15"/>
    <row r="175" s="331" customFormat="1" ht="15"/>
    <row r="176" s="331" customFormat="1" ht="15"/>
    <row r="177" s="331" customFormat="1" ht="15"/>
    <row r="178" s="331" customFormat="1" ht="15"/>
    <row r="179" s="331" customFormat="1" ht="15"/>
    <row r="180" s="331" customFormat="1" ht="15"/>
    <row r="181" s="331" customFormat="1" ht="15"/>
    <row r="182" s="331" customFormat="1" ht="15"/>
    <row r="183" s="331" customFormat="1" ht="15"/>
    <row r="184" s="331" customFormat="1" ht="15"/>
    <row r="185" s="331" customFormat="1" ht="15"/>
    <row r="186" s="331" customFormat="1" ht="15"/>
    <row r="187" s="331" customFormat="1" ht="15"/>
    <row r="188" s="331" customFormat="1" ht="15"/>
    <row r="189" s="331" customFormat="1" ht="15"/>
    <row r="190" s="331" customFormat="1" ht="15"/>
    <row r="191" s="331" customFormat="1" ht="15"/>
    <row r="192" s="331" customFormat="1" ht="15"/>
    <row r="193" s="331" customFormat="1" ht="15"/>
    <row r="194" s="331" customFormat="1" ht="15"/>
    <row r="195" s="331" customFormat="1" ht="15"/>
    <row r="196" s="331" customFormat="1" ht="15"/>
    <row r="197" s="331" customFormat="1" ht="15"/>
    <row r="198" s="331" customFormat="1" ht="15"/>
    <row r="199" s="331" customFormat="1" ht="15"/>
    <row r="200" s="331" customFormat="1" ht="15"/>
    <row r="201" s="331" customFormat="1" ht="15"/>
    <row r="202" s="331" customFormat="1" ht="15"/>
    <row r="203" s="331" customFormat="1" ht="15"/>
    <row r="204" s="331" customFormat="1" ht="15"/>
    <row r="205" s="331" customFormat="1" ht="15"/>
    <row r="206" s="331" customFormat="1" ht="15"/>
    <row r="207" s="331" customFormat="1" ht="15"/>
    <row r="208" s="331" customFormat="1" ht="15"/>
    <row r="209" s="331" customFormat="1" ht="15"/>
    <row r="210" s="331" customFormat="1" ht="15"/>
    <row r="211" s="331" customFormat="1" ht="15"/>
    <row r="212" s="331" customFormat="1" ht="15"/>
    <row r="213" s="331" customFormat="1" ht="15"/>
    <row r="214" s="331" customFormat="1" ht="15"/>
    <row r="215" s="331" customFormat="1" ht="15"/>
    <row r="216" s="331" customFormat="1" ht="15"/>
    <row r="217" s="331" customFormat="1" ht="15"/>
    <row r="218" s="331" customFormat="1" ht="15"/>
    <row r="219" s="331" customFormat="1" ht="15"/>
    <row r="220" s="331" customFormat="1" ht="15"/>
    <row r="221" s="331" customFormat="1" ht="15"/>
    <row r="222" s="331" customFormat="1" ht="15"/>
    <row r="223" s="331" customFormat="1" ht="15"/>
    <row r="224" s="331" customFormat="1" ht="15"/>
    <row r="225" s="331" customFormat="1" ht="15"/>
    <row r="226" s="331" customFormat="1" ht="15"/>
    <row r="227" s="331" customFormat="1" ht="15"/>
    <row r="228" s="331" customFormat="1" ht="15"/>
    <row r="229" s="331" customFormat="1" ht="15"/>
    <row r="230" s="331" customFormat="1" ht="15"/>
    <row r="231" s="331" customFormat="1" ht="15"/>
    <row r="232" s="331" customFormat="1" ht="15"/>
    <row r="233" s="331" customFormat="1" ht="15"/>
    <row r="234" s="331" customFormat="1" ht="15"/>
    <row r="235" s="331" customFormat="1" ht="15"/>
    <row r="236" s="331" customFormat="1" ht="15"/>
    <row r="237" s="331" customFormat="1" ht="15"/>
    <row r="238" s="331" customFormat="1" ht="15"/>
    <row r="239" s="331" customFormat="1" ht="15"/>
    <row r="240" s="331" customFormat="1" ht="15"/>
    <row r="241" s="331" customFormat="1" ht="15"/>
    <row r="242" s="331" customFormat="1" ht="15"/>
    <row r="243" s="331" customFormat="1" ht="15"/>
    <row r="244" s="331" customFormat="1" ht="15"/>
    <row r="245" s="331" customFormat="1" ht="15"/>
    <row r="246" s="331" customFormat="1" ht="15"/>
    <row r="247" s="331" customFormat="1" ht="15"/>
    <row r="248" s="331" customFormat="1" ht="15"/>
    <row r="249" s="331" customFormat="1" ht="15"/>
    <row r="250" s="331" customFormat="1" ht="15"/>
    <row r="251" s="331" customFormat="1" ht="15"/>
    <row r="252" s="331" customFormat="1" ht="15"/>
    <row r="253" s="331" customFormat="1" ht="15"/>
    <row r="254" s="331" customFormat="1" ht="15"/>
    <row r="255" s="331" customFormat="1" ht="15"/>
    <row r="256" s="331" customFormat="1" ht="15"/>
    <row r="257" s="331" customFormat="1" ht="15"/>
    <row r="258" s="331" customFormat="1" ht="15"/>
    <row r="259" s="331" customFormat="1" ht="15"/>
    <row r="260" s="331" customFormat="1" ht="15"/>
    <row r="261" s="331" customFormat="1" ht="15"/>
    <row r="262" s="331" customFormat="1" ht="15"/>
    <row r="263" s="331" customFormat="1" ht="15"/>
    <row r="264" s="331" customFormat="1" ht="15"/>
    <row r="265" s="331" customFormat="1" ht="15"/>
    <row r="266" s="331" customFormat="1" ht="15"/>
    <row r="267" s="331" customFormat="1" ht="15"/>
    <row r="268" s="331" customFormat="1" ht="15"/>
    <row r="269" s="331" customFormat="1" ht="15"/>
    <row r="270" s="331" customFormat="1" ht="15"/>
    <row r="271" s="331" customFormat="1" ht="15"/>
    <row r="272" s="331" customFormat="1" ht="15"/>
    <row r="273" s="331" customFormat="1" ht="15"/>
    <row r="274" s="331" customFormat="1" ht="15"/>
    <row r="275" s="331" customFormat="1" ht="15"/>
    <row r="276" s="331" customFormat="1" ht="15"/>
    <row r="277" s="331" customFormat="1" ht="15"/>
    <row r="278" s="331" customFormat="1" ht="15"/>
    <row r="279" s="331" customFormat="1" ht="15"/>
    <row r="280" s="331" customFormat="1" ht="15"/>
    <row r="281" s="331" customFormat="1" ht="15"/>
    <row r="282" s="331" customFormat="1" ht="15"/>
    <row r="283" s="331" customFormat="1" ht="15"/>
    <row r="284" s="331" customFormat="1" ht="15"/>
    <row r="285" s="331" customFormat="1" ht="15"/>
    <row r="286" s="331" customFormat="1" ht="15"/>
    <row r="287" s="331" customFormat="1" ht="15"/>
    <row r="288" s="331" customFormat="1" ht="15"/>
    <row r="289" s="331" customFormat="1" ht="15"/>
    <row r="290" s="331" customFormat="1" ht="15"/>
    <row r="291" s="331" customFormat="1" ht="15"/>
    <row r="292" s="331" customFormat="1" ht="15"/>
    <row r="293" s="331" customFormat="1" ht="15"/>
    <row r="294" s="331" customFormat="1" ht="15"/>
    <row r="295" s="331" customFormat="1" ht="15"/>
    <row r="296" s="331" customFormat="1" ht="15"/>
    <row r="297" s="331" customFormat="1" ht="15"/>
    <row r="298" s="331" customFormat="1" ht="15"/>
    <row r="299" s="331" customFormat="1" ht="15"/>
    <row r="300" s="331" customFormat="1" ht="15"/>
    <row r="301" s="331" customFormat="1" ht="15"/>
    <row r="302" s="331" customFormat="1" ht="15"/>
    <row r="303" s="331" customFormat="1" ht="15"/>
    <row r="304" s="331" customFormat="1" ht="15"/>
    <row r="305" s="331" customFormat="1" ht="15"/>
    <row r="306" s="331" customFormat="1" ht="15"/>
    <row r="307" s="331" customFormat="1" ht="15"/>
    <row r="308" s="331" customFormat="1" ht="15"/>
    <row r="309" s="331" customFormat="1" ht="15"/>
    <row r="310" s="331" customFormat="1" ht="15"/>
    <row r="311" s="331" customFormat="1" ht="15"/>
    <row r="312" s="331" customFormat="1" ht="15"/>
    <row r="313" s="331" customFormat="1" ht="15"/>
    <row r="314" s="331" customFormat="1" ht="15"/>
    <row r="315" s="331" customFormat="1" ht="15"/>
    <row r="316" s="331" customFormat="1" ht="15"/>
    <row r="317" s="331" customFormat="1" ht="15"/>
    <row r="318" s="331" customFormat="1" ht="15"/>
    <row r="319" s="331" customFormat="1" ht="15"/>
    <row r="320" s="331" customFormat="1" ht="15"/>
    <row r="321" s="331" customFormat="1" ht="15"/>
    <row r="322" s="331" customFormat="1" ht="15"/>
    <row r="323" s="331" customFormat="1" ht="15"/>
    <row r="324" s="331" customFormat="1" ht="15"/>
    <row r="325" s="331" customFormat="1" ht="15"/>
    <row r="326" s="331" customFormat="1" ht="15"/>
    <row r="327" s="331" customFormat="1" ht="15"/>
    <row r="328" s="331" customFormat="1" ht="15"/>
    <row r="329" s="331" customFormat="1" ht="15"/>
    <row r="330" s="331" customFormat="1" ht="15"/>
    <row r="331" s="331" customFormat="1" ht="15"/>
    <row r="332" s="331" customFormat="1" ht="15"/>
    <row r="333" s="331" customFormat="1" ht="15"/>
    <row r="334" s="331" customFormat="1" ht="15"/>
    <row r="335" s="331" customFormat="1" ht="15"/>
    <row r="336" s="331" customFormat="1" ht="15"/>
    <row r="337" s="331" customFormat="1" ht="15"/>
    <row r="338" s="331" customFormat="1" ht="15"/>
    <row r="339" s="331" customFormat="1" ht="15"/>
    <row r="340" s="331" customFormat="1" ht="15"/>
    <row r="341" s="331" customFormat="1" ht="15"/>
    <row r="342" s="331" customFormat="1" ht="15"/>
    <row r="343" s="331" customFormat="1" ht="15"/>
    <row r="344" s="331" customFormat="1" ht="15"/>
    <row r="345" s="331" customFormat="1" ht="15"/>
    <row r="346" s="331" customFormat="1" ht="15"/>
    <row r="347" s="331" customFormat="1" ht="15"/>
    <row r="348" s="331" customFormat="1" ht="15"/>
    <row r="349" s="331" customFormat="1" ht="15"/>
    <row r="350" s="331" customFormat="1" ht="15"/>
    <row r="351" s="331" customFormat="1" ht="15"/>
    <row r="352" s="331" customFormat="1" ht="15"/>
    <row r="353" s="331" customFormat="1" ht="15"/>
    <row r="354" s="331" customFormat="1" ht="15"/>
    <row r="355" s="331" customFormat="1" ht="15"/>
    <row r="356" s="331" customFormat="1" ht="15"/>
    <row r="357" s="331" customFormat="1" ht="15"/>
    <row r="358" s="331" customFormat="1" ht="15"/>
    <row r="359" s="331" customFormat="1" ht="15"/>
    <row r="360" s="331" customFormat="1" ht="15"/>
    <row r="361" s="331" customFormat="1" ht="15"/>
    <row r="362" s="331" customFormat="1" ht="15"/>
    <row r="363" s="331" customFormat="1" ht="15"/>
    <row r="364" s="331" customFormat="1" ht="15"/>
    <row r="365" s="331" customFormat="1" ht="15"/>
    <row r="366" s="331" customFormat="1" ht="15"/>
    <row r="367" s="331" customFormat="1" ht="15"/>
    <row r="368" s="331" customFormat="1" ht="15"/>
    <row r="369" s="331" customFormat="1" ht="15"/>
    <row r="370" s="331" customFormat="1" ht="15"/>
    <row r="371" s="331" customFormat="1" ht="15"/>
    <row r="372" s="331" customFormat="1" ht="15"/>
    <row r="373" s="331" customFormat="1" ht="15"/>
    <row r="374" s="331" customFormat="1" ht="15"/>
    <row r="375" s="331" customFormat="1" ht="15"/>
    <row r="376" s="331" customFormat="1" ht="15"/>
    <row r="377" s="331" customFormat="1" ht="15"/>
    <row r="378" s="331" customFormat="1" ht="15"/>
    <row r="379" s="331" customFormat="1" ht="15"/>
    <row r="380" s="331" customFormat="1" ht="15"/>
    <row r="381" s="331" customFormat="1" ht="15"/>
    <row r="382" s="331" customFormat="1" ht="15"/>
    <row r="383" s="331" customFormat="1" ht="15"/>
    <row r="384" s="331" customFormat="1" ht="15"/>
    <row r="385" s="331" customFormat="1" ht="15"/>
    <row r="386" s="331" customFormat="1" ht="15"/>
    <row r="387" s="331" customFormat="1" ht="15"/>
    <row r="388" s="331" customFormat="1" ht="15"/>
    <row r="389" s="331" customFormat="1" ht="15"/>
    <row r="390" s="331" customFormat="1" ht="15"/>
    <row r="391" s="331" customFormat="1" ht="15"/>
    <row r="392" s="331" customFormat="1" ht="15"/>
    <row r="393" s="331" customFormat="1" ht="15"/>
    <row r="394" s="331" customFormat="1" ht="15"/>
    <row r="395" s="331" customFormat="1" ht="15"/>
    <row r="396" s="331" customFormat="1" ht="15"/>
    <row r="397" s="331" customFormat="1" ht="15"/>
    <row r="398" s="331" customFormat="1" ht="15"/>
    <row r="399" s="331" customFormat="1" ht="15"/>
    <row r="400" s="331" customFormat="1" ht="15"/>
    <row r="401" s="331" customFormat="1" ht="15"/>
    <row r="402" s="331" customFormat="1" ht="15"/>
    <row r="403" s="331" customFormat="1" ht="15"/>
    <row r="404" s="331" customFormat="1" ht="15"/>
    <row r="405" s="331" customFormat="1" ht="15"/>
    <row r="406" s="331" customFormat="1" ht="15"/>
    <row r="407" s="331" customFormat="1" ht="15"/>
    <row r="408" s="331" customFormat="1" ht="15"/>
    <row r="409" s="331" customFormat="1" ht="15"/>
    <row r="410" s="331" customFormat="1" ht="15"/>
    <row r="411" s="331" customFormat="1" ht="15"/>
    <row r="412" s="331" customFormat="1" ht="15"/>
    <row r="413" s="331" customFormat="1" ht="15"/>
    <row r="414" s="331" customFormat="1" ht="15"/>
    <row r="415" s="331" customFormat="1" ht="15"/>
    <row r="416" s="331" customFormat="1" ht="15"/>
    <row r="417" s="331" customFormat="1" ht="15"/>
    <row r="418" s="331" customFormat="1" ht="15"/>
    <row r="419" s="331" customFormat="1" ht="15"/>
    <row r="420" s="331" customFormat="1" ht="15"/>
    <row r="421" s="331" customFormat="1" ht="15"/>
    <row r="422" s="331" customFormat="1" ht="15"/>
    <row r="423" s="331" customFormat="1" ht="15"/>
  </sheetData>
  <sheetProtection password="E69A" sheet="1" objects="1" scenarios="1" selectLockedCells="1" selectUnlockedCells="1"/>
  <mergeCells count="11">
    <mergeCell ref="G41:K41"/>
    <mergeCell ref="H40:J40"/>
    <mergeCell ref="B14:C14"/>
    <mergeCell ref="D30:G30"/>
    <mergeCell ref="D6:K7"/>
    <mergeCell ref="B2:K2"/>
    <mergeCell ref="D15:K19"/>
    <mergeCell ref="D29:G29"/>
    <mergeCell ref="D13:K13"/>
    <mergeCell ref="B3:K3"/>
    <mergeCell ref="C34:K37"/>
  </mergeCells>
  <printOptions/>
  <pageMargins left="0.393700787401575" right="0.35" top="0.65" bottom="0.354330708661417" header="0.4" footer="0.31496062992126"/>
  <pageSetup horizontalDpi="300" verticalDpi="300" orientation="portrait" paperSize="9" r:id="rId2"/>
  <ignoredErrors>
    <ignoredError sqref="J31" unlockedFormula="1"/>
  </ignoredErrors>
  <drawing r:id="rId1"/>
</worksheet>
</file>

<file path=xl/worksheets/sheet3.xml><?xml version="1.0" encoding="utf-8"?>
<worksheet xmlns="http://schemas.openxmlformats.org/spreadsheetml/2006/main" xmlns:r="http://schemas.openxmlformats.org/officeDocument/2006/relationships">
  <sheetPr>
    <tabColor rgb="FF92D050"/>
  </sheetPr>
  <dimension ref="B2:AD22"/>
  <sheetViews>
    <sheetView showGridLines="0" showRowColHeaders="0" zoomScaleSheetLayoutView="100" zoomScalePageLayoutView="0" workbookViewId="0" topLeftCell="A1">
      <selection activeCell="AC5" sqref="AC5"/>
    </sheetView>
  </sheetViews>
  <sheetFormatPr defaultColWidth="9.140625" defaultRowHeight="15"/>
  <cols>
    <col min="1" max="1" width="5.57421875" style="309" customWidth="1"/>
    <col min="2" max="2" width="5.28125" style="3" customWidth="1"/>
    <col min="3" max="3" width="12.8515625" style="3" customWidth="1"/>
    <col min="4" max="4" width="6.421875" style="3" customWidth="1"/>
    <col min="5" max="7" width="6.28125" style="3" customWidth="1"/>
    <col min="8" max="8" width="7.140625" style="3" customWidth="1"/>
    <col min="9" max="9" width="5.00390625" style="3" customWidth="1"/>
    <col min="10" max="10" width="6.7109375" style="3" hidden="1" customWidth="1"/>
    <col min="11" max="14" width="6.28125" style="3" customWidth="1"/>
    <col min="15" max="15" width="7.140625" style="3" customWidth="1"/>
    <col min="16" max="16" width="5.00390625" style="3" customWidth="1"/>
    <col min="17" max="17" width="6.7109375" style="3" hidden="1" customWidth="1"/>
    <col min="18" max="21" width="5.7109375" style="3" customWidth="1"/>
    <col min="22" max="22" width="6.421875" style="3" customWidth="1"/>
    <col min="23" max="23" width="6.7109375" style="3" customWidth="1"/>
    <col min="24" max="24" width="5.00390625" style="3" customWidth="1"/>
    <col min="25" max="25" width="5.7109375" style="3" customWidth="1"/>
    <col min="26" max="26" width="6.28125" style="3" customWidth="1"/>
    <col min="27" max="27" width="0" style="3" hidden="1" customWidth="1"/>
    <col min="28" max="28" width="4.57421875" style="309" customWidth="1"/>
    <col min="29" max="99" width="9.140625" style="309" customWidth="1"/>
    <col min="100" max="16384" width="9.140625" style="3" customWidth="1"/>
  </cols>
  <sheetData>
    <row r="1" s="309" customFormat="1" ht="20.25" customHeight="1"/>
    <row r="2" spans="2:29" ht="15" customHeight="1">
      <c r="B2" s="607" t="str">
        <f>CONCATENATE(" AAS  ","( ",DATA!Q190," years ",")"," Arrears bill of  ",DATA!T131," ",DATA!E3,," ,",DATA!V121," ,",DATA!T149," ,",DATA!D8,", ",DATA!D9," ( Mandal )",".")</f>
        <v> AAS  ( 12 years ) Arrears bill of  Sri. K.Chandra sekhar ,Sr.Asst. ,Mandal Parishad ,Jonnagiri, Tuggali ( Mandal ).</v>
      </c>
      <c r="C2" s="607"/>
      <c r="D2" s="607"/>
      <c r="E2" s="607"/>
      <c r="F2" s="607"/>
      <c r="G2" s="607"/>
      <c r="H2" s="607"/>
      <c r="I2" s="607"/>
      <c r="J2" s="607"/>
      <c r="K2" s="607"/>
      <c r="L2" s="607"/>
      <c r="M2" s="607"/>
      <c r="N2" s="607"/>
      <c r="O2" s="607"/>
      <c r="P2" s="607"/>
      <c r="Q2" s="607"/>
      <c r="R2" s="607"/>
      <c r="S2" s="607"/>
      <c r="T2" s="607"/>
      <c r="U2" s="607"/>
      <c r="V2" s="607"/>
      <c r="W2" s="607"/>
      <c r="X2" s="607"/>
      <c r="Y2" s="607"/>
      <c r="Z2" s="607"/>
      <c r="AA2" s="156"/>
      <c r="AB2" s="310"/>
      <c r="AC2" s="310"/>
    </row>
    <row r="3" spans="2:29" ht="21.75" customHeight="1">
      <c r="B3" s="608"/>
      <c r="C3" s="608"/>
      <c r="D3" s="608"/>
      <c r="E3" s="608"/>
      <c r="F3" s="608"/>
      <c r="G3" s="608"/>
      <c r="H3" s="608"/>
      <c r="I3" s="608"/>
      <c r="J3" s="608"/>
      <c r="K3" s="608"/>
      <c r="L3" s="608"/>
      <c r="M3" s="608"/>
      <c r="N3" s="608"/>
      <c r="O3" s="608"/>
      <c r="P3" s="608"/>
      <c r="Q3" s="608"/>
      <c r="R3" s="608"/>
      <c r="S3" s="608"/>
      <c r="T3" s="608"/>
      <c r="U3" s="608"/>
      <c r="V3" s="608"/>
      <c r="W3" s="608"/>
      <c r="X3" s="608"/>
      <c r="Y3" s="608"/>
      <c r="Z3" s="608"/>
      <c r="AA3" s="156"/>
      <c r="AB3" s="310"/>
      <c r="AC3" s="310"/>
    </row>
    <row r="4" spans="2:29" ht="20.25" customHeight="1">
      <c r="B4" s="609" t="s">
        <v>253</v>
      </c>
      <c r="C4" s="597" t="s">
        <v>254</v>
      </c>
      <c r="D4" s="598" t="s">
        <v>256</v>
      </c>
      <c r="E4" s="599"/>
      <c r="F4" s="599"/>
      <c r="G4" s="599"/>
      <c r="H4" s="600"/>
      <c r="I4" s="596" t="s">
        <v>258</v>
      </c>
      <c r="J4" s="152"/>
      <c r="K4" s="598" t="s">
        <v>395</v>
      </c>
      <c r="L4" s="599"/>
      <c r="M4" s="599"/>
      <c r="N4" s="599"/>
      <c r="O4" s="600"/>
      <c r="P4" s="601" t="s">
        <v>259</v>
      </c>
      <c r="Q4" s="148"/>
      <c r="R4" s="603" t="s">
        <v>260</v>
      </c>
      <c r="S4" s="603"/>
      <c r="T4" s="603"/>
      <c r="U4" s="603"/>
      <c r="V4" s="603"/>
      <c r="W4" s="610">
        <f>IF(DATA!V129=1,""," CPS  Deduction ")</f>
      </c>
      <c r="X4" s="601" t="s">
        <v>261</v>
      </c>
      <c r="Y4" s="594" t="s">
        <v>506</v>
      </c>
      <c r="Z4" s="614" t="s">
        <v>262</v>
      </c>
      <c r="AA4" s="157"/>
      <c r="AB4" s="311"/>
      <c r="AC4" s="311"/>
    </row>
    <row r="5" spans="2:29" ht="56.25" customHeight="1">
      <c r="B5" s="609"/>
      <c r="C5" s="597"/>
      <c r="D5" s="65" t="s">
        <v>257</v>
      </c>
      <c r="E5" s="66" t="s">
        <v>252</v>
      </c>
      <c r="F5" s="66" t="s">
        <v>255</v>
      </c>
      <c r="G5" s="146" t="s">
        <v>514</v>
      </c>
      <c r="H5" s="66" t="s">
        <v>78</v>
      </c>
      <c r="I5" s="596"/>
      <c r="J5" s="150"/>
      <c r="K5" s="65" t="s">
        <v>257</v>
      </c>
      <c r="L5" s="110" t="s">
        <v>252</v>
      </c>
      <c r="M5" s="66" t="s">
        <v>255</v>
      </c>
      <c r="N5" s="146" t="s">
        <v>515</v>
      </c>
      <c r="O5" s="66" t="s">
        <v>78</v>
      </c>
      <c r="P5" s="602"/>
      <c r="Q5" s="149"/>
      <c r="R5" s="65" t="s">
        <v>257</v>
      </c>
      <c r="S5" s="66" t="s">
        <v>252</v>
      </c>
      <c r="T5" s="66" t="s">
        <v>255</v>
      </c>
      <c r="U5" s="146" t="s">
        <v>515</v>
      </c>
      <c r="V5" s="66" t="s">
        <v>78</v>
      </c>
      <c r="W5" s="611"/>
      <c r="X5" s="602"/>
      <c r="Y5" s="595"/>
      <c r="Z5" s="614"/>
      <c r="AA5" s="145"/>
      <c r="AC5" s="312"/>
    </row>
    <row r="6" spans="2:30" ht="30" customHeight="1">
      <c r="B6" s="144">
        <v>1</v>
      </c>
      <c r="C6" s="154" t="str">
        <f>DATA!AO115</f>
        <v>21 - 31/01/2014</v>
      </c>
      <c r="D6" s="144">
        <f>DATA!AQ115</f>
        <v>2590</v>
      </c>
      <c r="E6" s="144">
        <f>DATA!AR115</f>
        <v>1641</v>
      </c>
      <c r="F6" s="144">
        <f>DATA!AS115</f>
        <v>311</v>
      </c>
      <c r="G6" s="144">
        <f>DATA!BK115</f>
        <v>699</v>
      </c>
      <c r="H6" s="144">
        <f>SUM(D6:G6)</f>
        <v>5241</v>
      </c>
      <c r="I6" s="144">
        <f>IF(DATA!AU115=0,"",DATA!AU115)</f>
      </c>
      <c r="J6" s="144">
        <f aca="true" t="shared" si="0" ref="J6:J11">IF(I6="",0,I6)</f>
        <v>0</v>
      </c>
      <c r="K6" s="144">
        <f>DATA!AV115</f>
        <v>2519</v>
      </c>
      <c r="L6" s="144">
        <f>DATA!AW115</f>
        <v>1596</v>
      </c>
      <c r="M6" s="144">
        <f>DATA!AX115</f>
        <v>302</v>
      </c>
      <c r="N6" s="144">
        <f>DATA!BL115</f>
        <v>680</v>
      </c>
      <c r="O6" s="144">
        <f>SUM(K6:N6)</f>
        <v>5097</v>
      </c>
      <c r="P6" s="144">
        <f>IF(DATA!AZ115=0,"",DATA!AZ115)</f>
      </c>
      <c r="Q6" s="144">
        <f aca="true" t="shared" si="1" ref="Q6:Q11">IF(P6="",0,P6)</f>
        <v>0</v>
      </c>
      <c r="R6" s="144">
        <f>DATA!BA115</f>
        <v>71</v>
      </c>
      <c r="S6" s="144">
        <f>DATA!BB115</f>
        <v>45</v>
      </c>
      <c r="T6" s="144">
        <f>DATA!BC115</f>
        <v>9</v>
      </c>
      <c r="U6" s="144">
        <f aca="true" t="shared" si="2" ref="U6:U11">IF(G6="","",(G6-N6))</f>
        <v>19</v>
      </c>
      <c r="V6" s="144">
        <f>SUM(R6:U6)</f>
        <v>144</v>
      </c>
      <c r="W6" s="144">
        <f>IF(DATA!BI115=0,"",DATA!BI115)</f>
      </c>
      <c r="X6" s="144">
        <f aca="true" t="shared" si="3" ref="X6:X11">IF(C6="","",J6-Q6)</f>
        <v>0</v>
      </c>
      <c r="Y6" s="144">
        <f>DATA!BI115+X6</f>
        <v>0</v>
      </c>
      <c r="Z6" s="144">
        <f>V6-Y6</f>
        <v>144</v>
      </c>
      <c r="AB6" s="309">
        <f aca="true" t="shared" si="4" ref="AB6:AB11">IF(Z6="",0,1)</f>
        <v>1</v>
      </c>
      <c r="AD6" s="313"/>
    </row>
    <row r="7" spans="2:28" ht="30" customHeight="1">
      <c r="B7" s="144">
        <v>2</v>
      </c>
      <c r="C7" s="155">
        <f>DATA!AO116</f>
        <v>41671</v>
      </c>
      <c r="D7" s="144">
        <f>DATA!AQ116</f>
        <v>7300</v>
      </c>
      <c r="E7" s="144">
        <f>DATA!AR116</f>
        <v>4624</v>
      </c>
      <c r="F7" s="144">
        <f>DATA!AS116</f>
        <v>876</v>
      </c>
      <c r="G7" s="144">
        <f>DATA!BK116</f>
        <v>1971</v>
      </c>
      <c r="H7" s="144">
        <f>IF(C7="","",SUM(D7:G7))</f>
        <v>14771</v>
      </c>
      <c r="I7" s="144">
        <f>IF(DATA!AU116=0,"",DATA!AU116)</f>
      </c>
      <c r="J7" s="144">
        <f t="shared" si="0"/>
        <v>0</v>
      </c>
      <c r="K7" s="144">
        <f>DATA!AV116</f>
        <v>7100</v>
      </c>
      <c r="L7" s="144">
        <f>DATA!AW116</f>
        <v>4497</v>
      </c>
      <c r="M7" s="144">
        <f>DATA!AX116</f>
        <v>852</v>
      </c>
      <c r="N7" s="144">
        <f>DATA!BL116</f>
        <v>1917</v>
      </c>
      <c r="O7" s="144">
        <f>IF(C7="","",SUM(K7:N7))</f>
        <v>14366</v>
      </c>
      <c r="P7" s="144">
        <f>IF(DATA!AZ116=0,"",DATA!AZ116)</f>
      </c>
      <c r="Q7" s="144">
        <f t="shared" si="1"/>
        <v>0</v>
      </c>
      <c r="R7" s="144">
        <f>DATA!BA116</f>
        <v>200</v>
      </c>
      <c r="S7" s="144">
        <f>DATA!BB116</f>
        <v>127</v>
      </c>
      <c r="T7" s="144">
        <f>DATA!BC116</f>
        <v>24</v>
      </c>
      <c r="U7" s="144">
        <f t="shared" si="2"/>
        <v>54</v>
      </c>
      <c r="V7" s="144">
        <f>IF(C7="","",SUM(R7:U7))</f>
        <v>405</v>
      </c>
      <c r="W7" s="144">
        <f>IF(DATA!BI116=0,"",DATA!BI116)</f>
      </c>
      <c r="X7" s="144">
        <f t="shared" si="3"/>
        <v>0</v>
      </c>
      <c r="Y7" s="144">
        <f>IF(C7="","",DATA!BI116+X7)</f>
        <v>0</v>
      </c>
      <c r="Z7" s="144">
        <f>IF(C7="","",V7-Y7)</f>
        <v>405</v>
      </c>
      <c r="AB7" s="316">
        <f t="shared" si="4"/>
        <v>1</v>
      </c>
    </row>
    <row r="8" spans="2:28" ht="30" customHeight="1">
      <c r="B8" s="144">
        <v>3</v>
      </c>
      <c r="C8" s="155">
        <f>DATA!AO117</f>
        <v>41699</v>
      </c>
      <c r="D8" s="144">
        <f>DATA!AQ117</f>
        <v>7300</v>
      </c>
      <c r="E8" s="144">
        <f>DATA!AR117</f>
        <v>4624</v>
      </c>
      <c r="F8" s="144">
        <f>DATA!AS117</f>
        <v>876</v>
      </c>
      <c r="G8" s="144">
        <f>DATA!BK117</f>
        <v>1971</v>
      </c>
      <c r="H8" s="144">
        <f>IF(C8="","",SUM(D8:G8))</f>
        <v>14771</v>
      </c>
      <c r="I8" s="144">
        <f>IF(DATA!AU117=0,"",DATA!AU117)</f>
      </c>
      <c r="J8" s="144">
        <f t="shared" si="0"/>
        <v>0</v>
      </c>
      <c r="K8" s="144">
        <f>DATA!AV117</f>
        <v>7100</v>
      </c>
      <c r="L8" s="144">
        <f>DATA!AW117</f>
        <v>4497</v>
      </c>
      <c r="M8" s="144">
        <f>DATA!AX117</f>
        <v>852</v>
      </c>
      <c r="N8" s="144">
        <f>DATA!BL117</f>
        <v>1917</v>
      </c>
      <c r="O8" s="144">
        <f>IF(C8="","",SUM(K8:N8))</f>
        <v>14366</v>
      </c>
      <c r="P8" s="144">
        <f>IF(DATA!AZ117=0,"",DATA!AZ117)</f>
      </c>
      <c r="Q8" s="144">
        <f t="shared" si="1"/>
        <v>0</v>
      </c>
      <c r="R8" s="144">
        <f>DATA!BA117</f>
        <v>200</v>
      </c>
      <c r="S8" s="144">
        <f>DATA!BB117</f>
        <v>127</v>
      </c>
      <c r="T8" s="144">
        <f>DATA!BC117</f>
        <v>24</v>
      </c>
      <c r="U8" s="144">
        <f t="shared" si="2"/>
        <v>54</v>
      </c>
      <c r="V8" s="144">
        <f>IF(C8="","",SUM(R8:U8))</f>
        <v>405</v>
      </c>
      <c r="W8" s="144">
        <f>IF(DATA!BI117=0,"",DATA!BI117)</f>
      </c>
      <c r="X8" s="144">
        <f t="shared" si="3"/>
        <v>0</v>
      </c>
      <c r="Y8" s="144">
        <f>IF(C8="","",DATA!BI117+X8)</f>
        <v>0</v>
      </c>
      <c r="Z8" s="144">
        <f>IF(C8="","",V8-Y8)</f>
        <v>405</v>
      </c>
      <c r="AB8" s="316">
        <f t="shared" si="4"/>
        <v>1</v>
      </c>
    </row>
    <row r="9" spans="2:28" ht="30" customHeight="1">
      <c r="B9" s="144">
        <v>4</v>
      </c>
      <c r="C9" s="155">
        <f>DATA!AO118</f>
      </c>
      <c r="D9" s="144">
        <f>DATA!AQ118</f>
      </c>
      <c r="E9" s="144">
        <f>DATA!AR118</f>
      </c>
      <c r="F9" s="144">
        <f>DATA!AS118</f>
      </c>
      <c r="G9" s="144">
        <f>DATA!BK118</f>
      </c>
      <c r="H9" s="144">
        <f>IF(C9="","",SUM(D9:G9))</f>
      </c>
      <c r="I9" s="144">
        <f>IF(DATA!AU118=0,"",DATA!AU118)</f>
      </c>
      <c r="J9" s="144">
        <f t="shared" si="0"/>
        <v>0</v>
      </c>
      <c r="K9" s="144">
        <f>DATA!AV118</f>
      </c>
      <c r="L9" s="144">
        <f>DATA!AW118</f>
      </c>
      <c r="M9" s="144">
        <f>DATA!AX118</f>
      </c>
      <c r="N9" s="144">
        <f>DATA!BL118</f>
      </c>
      <c r="O9" s="144">
        <f>IF(C9="","",SUM(K9:N9))</f>
      </c>
      <c r="P9" s="144">
        <f>IF(DATA!AZ118=0,"",DATA!AZ118)</f>
      </c>
      <c r="Q9" s="144">
        <f t="shared" si="1"/>
        <v>0</v>
      </c>
      <c r="R9" s="144">
        <f>DATA!BA118</f>
      </c>
      <c r="S9" s="144">
        <f>DATA!BB118</f>
      </c>
      <c r="T9" s="144">
        <f>DATA!BC118</f>
      </c>
      <c r="U9" s="144">
        <f t="shared" si="2"/>
      </c>
      <c r="V9" s="144">
        <f>IF(C9="","",SUM(R9:U9))</f>
      </c>
      <c r="W9" s="144">
        <f>IF(DATA!BI118=0,"",DATA!BI118)</f>
      </c>
      <c r="X9" s="144">
        <f t="shared" si="3"/>
      </c>
      <c r="Y9" s="144">
        <f>IF(C9="","",DATA!BI118+X9)</f>
      </c>
      <c r="Z9" s="144">
        <f>IF(C9="","",V9-Y9)</f>
      </c>
      <c r="AB9" s="316">
        <f t="shared" si="4"/>
        <v>0</v>
      </c>
    </row>
    <row r="10" spans="2:28" ht="30" customHeight="1">
      <c r="B10" s="144">
        <v>5</v>
      </c>
      <c r="C10" s="155">
        <f>DATA!AO119</f>
      </c>
      <c r="D10" s="144">
        <f>DATA!AQ119</f>
      </c>
      <c r="E10" s="144">
        <f>DATA!AR119</f>
      </c>
      <c r="F10" s="144">
        <f>DATA!AS119</f>
      </c>
      <c r="G10" s="144">
        <f>DATA!BK119</f>
      </c>
      <c r="H10" s="144">
        <f>IF(C10="","",SUM(D10:G10))</f>
      </c>
      <c r="I10" s="144">
        <f>IF(DATA!AU119=0,"",DATA!AU119)</f>
      </c>
      <c r="J10" s="144">
        <f t="shared" si="0"/>
        <v>0</v>
      </c>
      <c r="K10" s="144">
        <f>DATA!AV119</f>
      </c>
      <c r="L10" s="144">
        <f>DATA!AW119</f>
      </c>
      <c r="M10" s="144">
        <f>DATA!AX119</f>
      </c>
      <c r="N10" s="144">
        <f>DATA!BL119</f>
      </c>
      <c r="O10" s="144">
        <f>IF(C10="","",SUM(K10:N10))</f>
      </c>
      <c r="P10" s="144">
        <f>IF(DATA!AZ119=0,"",DATA!AZ119)</f>
      </c>
      <c r="Q10" s="144">
        <f t="shared" si="1"/>
        <v>0</v>
      </c>
      <c r="R10" s="144">
        <f>DATA!BA119</f>
      </c>
      <c r="S10" s="144">
        <f>DATA!BB119</f>
      </c>
      <c r="T10" s="144">
        <f>DATA!BC119</f>
      </c>
      <c r="U10" s="144">
        <f t="shared" si="2"/>
      </c>
      <c r="V10" s="144">
        <f>IF(C10="","",SUM(R10:U10))</f>
      </c>
      <c r="W10" s="144">
        <f>IF(DATA!BI119=0,"",DATA!BI119)</f>
      </c>
      <c r="X10" s="144">
        <f t="shared" si="3"/>
      </c>
      <c r="Y10" s="144">
        <f>IF(C10="","",DATA!BI119+X10)</f>
      </c>
      <c r="Z10" s="144">
        <f>IF(C10="","",V10-Y10)</f>
      </c>
      <c r="AB10" s="316">
        <f t="shared" si="4"/>
        <v>0</v>
      </c>
    </row>
    <row r="11" spans="2:28" ht="30" customHeight="1">
      <c r="B11" s="144">
        <v>6</v>
      </c>
      <c r="C11" s="155">
        <f>DATA!AO120</f>
      </c>
      <c r="D11" s="144">
        <f>DATA!AQ120</f>
      </c>
      <c r="E11" s="144">
        <f>DATA!AR120</f>
      </c>
      <c r="F11" s="144">
        <f>DATA!AS120</f>
      </c>
      <c r="G11" s="144">
        <f>DATA!BK120</f>
      </c>
      <c r="H11" s="144">
        <f>IF(C11="","",SUM(D11:G11))</f>
      </c>
      <c r="I11" s="144">
        <f>IF(DATA!AU120=0,"",DATA!AU120)</f>
      </c>
      <c r="J11" s="144">
        <f t="shared" si="0"/>
        <v>0</v>
      </c>
      <c r="K11" s="144">
        <f>DATA!AV120</f>
      </c>
      <c r="L11" s="144">
        <f>DATA!AW120</f>
      </c>
      <c r="M11" s="144">
        <f>DATA!AX120</f>
      </c>
      <c r="N11" s="144">
        <f>DATA!BL120</f>
      </c>
      <c r="O11" s="144">
        <f>IF(C11="","",SUM(K11:N11))</f>
      </c>
      <c r="P11" s="144">
        <f>IF(DATA!AZ120=0,"",DATA!AZ120)</f>
      </c>
      <c r="Q11" s="144">
        <f t="shared" si="1"/>
        <v>0</v>
      </c>
      <c r="R11" s="144">
        <f>DATA!BA120</f>
      </c>
      <c r="S11" s="144">
        <f>DATA!BB120</f>
      </c>
      <c r="T11" s="144">
        <f>DATA!BC120</f>
      </c>
      <c r="U11" s="144">
        <f t="shared" si="2"/>
      </c>
      <c r="V11" s="144">
        <f>IF(C11="","",SUM(R11:U11))</f>
      </c>
      <c r="W11" s="144">
        <f>IF(DATA!BI120=0,"",DATA!BI120)</f>
      </c>
      <c r="X11" s="144">
        <f t="shared" si="3"/>
      </c>
      <c r="Y11" s="144">
        <f>IF(C11="","",DATA!BI120+X11)</f>
      </c>
      <c r="Z11" s="144">
        <f>IF(C11="","",V11-Y11)</f>
      </c>
      <c r="AB11" s="316">
        <f t="shared" si="4"/>
        <v>0</v>
      </c>
    </row>
    <row r="12" spans="2:26" ht="30.75" customHeight="1">
      <c r="B12" s="605" t="s">
        <v>77</v>
      </c>
      <c r="C12" s="606"/>
      <c r="D12" s="144">
        <f>SUM(D6:D11)</f>
        <v>17190</v>
      </c>
      <c r="E12" s="144">
        <f>SUM(E6:E11)</f>
        <v>10889</v>
      </c>
      <c r="F12" s="144">
        <f>SUM(F6:F11)</f>
        <v>2063</v>
      </c>
      <c r="G12" s="144">
        <f>SUM(G6:G11)</f>
        <v>4641</v>
      </c>
      <c r="H12" s="144">
        <f>SUM(H6:H11)</f>
        <v>34783</v>
      </c>
      <c r="I12" s="144">
        <f>J12</f>
        <v>0</v>
      </c>
      <c r="J12" s="144">
        <f aca="true" t="shared" si="5" ref="J12:O12">SUM(J6:J11)</f>
        <v>0</v>
      </c>
      <c r="K12" s="144">
        <f t="shared" si="5"/>
        <v>16719</v>
      </c>
      <c r="L12" s="144">
        <f t="shared" si="5"/>
        <v>10590</v>
      </c>
      <c r="M12" s="144">
        <f t="shared" si="5"/>
        <v>2006</v>
      </c>
      <c r="N12" s="144">
        <f t="shared" si="5"/>
        <v>4514</v>
      </c>
      <c r="O12" s="144">
        <f t="shared" si="5"/>
        <v>33829</v>
      </c>
      <c r="P12" s="144">
        <f>Q12</f>
        <v>0</v>
      </c>
      <c r="Q12" s="144">
        <f aca="true" t="shared" si="6" ref="Q12:Z12">SUM(Q6:Q11)</f>
        <v>0</v>
      </c>
      <c r="R12" s="144">
        <f t="shared" si="6"/>
        <v>471</v>
      </c>
      <c r="S12" s="144">
        <f t="shared" si="6"/>
        <v>299</v>
      </c>
      <c r="T12" s="144">
        <f t="shared" si="6"/>
        <v>57</v>
      </c>
      <c r="U12" s="144">
        <f t="shared" si="6"/>
        <v>127</v>
      </c>
      <c r="V12" s="144">
        <f t="shared" si="6"/>
        <v>954</v>
      </c>
      <c r="W12" s="144">
        <f t="shared" si="6"/>
        <v>0</v>
      </c>
      <c r="X12" s="144">
        <f t="shared" si="6"/>
        <v>0</v>
      </c>
      <c r="Y12" s="144">
        <f t="shared" si="6"/>
        <v>0</v>
      </c>
      <c r="Z12" s="144">
        <f t="shared" si="6"/>
        <v>954</v>
      </c>
    </row>
    <row r="15" ht="15">
      <c r="L15" s="126" t="str">
        <f>CONCATENATE("Pass Per Rs.  ",Z12,"/","-","(",DATA!AL142,")")</f>
        <v>Pass Per Rs.  954/-(    Nine Hundred and Fifty Four rupees only )</v>
      </c>
    </row>
    <row r="16" spans="3:26" ht="15">
      <c r="C16" s="60" t="s">
        <v>79</v>
      </c>
      <c r="I16" s="61"/>
      <c r="J16" s="61"/>
      <c r="K16" s="604"/>
      <c r="L16" s="604"/>
      <c r="M16" s="7"/>
      <c r="N16" s="7"/>
      <c r="O16" s="62"/>
      <c r="P16" s="61"/>
      <c r="Q16" s="61"/>
      <c r="R16" s="61"/>
      <c r="S16" s="61"/>
      <c r="T16" s="61"/>
      <c r="U16" s="61"/>
      <c r="V16" s="61"/>
      <c r="W16" s="61"/>
      <c r="X16" s="61"/>
      <c r="Y16" s="61"/>
      <c r="Z16" s="61"/>
    </row>
    <row r="17" spans="3:28" ht="15" customHeight="1">
      <c r="C17" s="612" t="s">
        <v>80</v>
      </c>
      <c r="D17" s="612"/>
      <c r="E17" s="612"/>
      <c r="F17" s="612"/>
      <c r="G17" s="612"/>
      <c r="H17" s="612"/>
      <c r="R17" s="63"/>
      <c r="S17" s="63"/>
      <c r="T17" s="63"/>
      <c r="U17" s="63"/>
      <c r="V17" s="63"/>
      <c r="W17" s="63"/>
      <c r="X17" s="63"/>
      <c r="Y17" s="63"/>
      <c r="Z17" s="63"/>
      <c r="AA17" s="2"/>
      <c r="AB17" s="314"/>
    </row>
    <row r="18" spans="3:28" ht="15">
      <c r="C18" s="612"/>
      <c r="D18" s="612"/>
      <c r="E18" s="612"/>
      <c r="F18" s="612"/>
      <c r="G18" s="612"/>
      <c r="H18" s="612"/>
      <c r="P18" s="63"/>
      <c r="Q18" s="63"/>
      <c r="R18" s="63"/>
      <c r="S18" s="63"/>
      <c r="T18" s="63"/>
      <c r="U18" s="63"/>
      <c r="V18" s="63"/>
      <c r="W18" s="63"/>
      <c r="X18" s="63"/>
      <c r="Y18" s="63"/>
      <c r="Z18" s="63"/>
      <c r="AA18" s="2"/>
      <c r="AB18" s="314"/>
    </row>
    <row r="19" spans="3:30" ht="15">
      <c r="C19" s="612"/>
      <c r="D19" s="612"/>
      <c r="E19" s="612"/>
      <c r="F19" s="612"/>
      <c r="G19" s="612"/>
      <c r="H19" s="612"/>
      <c r="O19" s="613" t="s">
        <v>81</v>
      </c>
      <c r="P19" s="613"/>
      <c r="Q19" s="613"/>
      <c r="R19" s="613"/>
      <c r="S19" s="613"/>
      <c r="T19" s="613"/>
      <c r="U19" s="147"/>
      <c r="AD19" s="315"/>
    </row>
    <row r="21" ht="15">
      <c r="AA21" s="151"/>
    </row>
    <row r="22" spans="2:27" ht="18">
      <c r="B22" s="143" t="s">
        <v>571</v>
      </c>
      <c r="C22" s="11"/>
      <c r="D22" s="11"/>
      <c r="E22" s="11"/>
      <c r="F22" s="11"/>
      <c r="G22" s="11"/>
      <c r="H22" s="11"/>
      <c r="I22" s="11"/>
      <c r="J22" s="11"/>
      <c r="K22" s="11"/>
      <c r="L22" s="11"/>
      <c r="M22" s="11"/>
      <c r="N22" s="11"/>
      <c r="O22" s="11"/>
      <c r="P22" s="11"/>
      <c r="Q22" s="11"/>
      <c r="R22" s="11"/>
      <c r="S22" s="11"/>
      <c r="T22" s="11"/>
      <c r="U22" s="11"/>
      <c r="V22" s="11"/>
      <c r="W22" s="11"/>
      <c r="X22" s="11"/>
      <c r="Y22" s="11"/>
      <c r="Z22" s="11"/>
      <c r="AA22" s="151"/>
    </row>
    <row r="23" s="309" customFormat="1" ht="15"/>
    <row r="24" s="309" customFormat="1" ht="15"/>
    <row r="25" s="309" customFormat="1" ht="15"/>
    <row r="26" s="309" customFormat="1" ht="15"/>
    <row r="27" s="309" customFormat="1" ht="15"/>
    <row r="28" s="309" customFormat="1" ht="15"/>
    <row r="29" s="309" customFormat="1" ht="15"/>
    <row r="30" s="309" customFormat="1" ht="15"/>
    <row r="31" s="309" customFormat="1" ht="15"/>
    <row r="32" s="309" customFormat="1" ht="15"/>
    <row r="33" s="309" customFormat="1" ht="15"/>
    <row r="34" s="309" customFormat="1" ht="15"/>
    <row r="35" s="309" customFormat="1" ht="15"/>
    <row r="36" s="309" customFormat="1" ht="15"/>
    <row r="37" s="309" customFormat="1" ht="15"/>
    <row r="38" s="309" customFormat="1" ht="15"/>
    <row r="39" s="309" customFormat="1" ht="15"/>
    <row r="40" s="309" customFormat="1" ht="15"/>
    <row r="41" s="309" customFormat="1" ht="15"/>
    <row r="42" s="309" customFormat="1" ht="15"/>
    <row r="43" s="309" customFormat="1" ht="15"/>
    <row r="44" s="309" customFormat="1" ht="15"/>
    <row r="45" s="309" customFormat="1" ht="15"/>
    <row r="46" s="309" customFormat="1" ht="15"/>
    <row r="47" s="309" customFormat="1" ht="15"/>
    <row r="48" s="309" customFormat="1" ht="15"/>
    <row r="49" s="309" customFormat="1" ht="15"/>
    <row r="50" s="309" customFormat="1" ht="15"/>
    <row r="51" s="309" customFormat="1" ht="15"/>
    <row r="52" s="309" customFormat="1" ht="15"/>
    <row r="53" s="309" customFormat="1" ht="15"/>
    <row r="54" s="309" customFormat="1" ht="15"/>
    <row r="55" s="309" customFormat="1" ht="15"/>
    <row r="56" s="309" customFormat="1" ht="15"/>
    <row r="57" s="309" customFormat="1" ht="15"/>
    <row r="58" s="309" customFormat="1" ht="15"/>
    <row r="59" s="309" customFormat="1" ht="15"/>
    <row r="60" s="309" customFormat="1" ht="15"/>
    <row r="61" s="309" customFormat="1" ht="15"/>
    <row r="62" s="309" customFormat="1" ht="15"/>
    <row r="63" s="309" customFormat="1" ht="15"/>
    <row r="64" s="309" customFormat="1" ht="15"/>
    <row r="65" s="309" customFormat="1" ht="15"/>
    <row r="66" s="309" customFormat="1" ht="15"/>
    <row r="67" s="309" customFormat="1" ht="15"/>
    <row r="68" s="309" customFormat="1" ht="15"/>
    <row r="69" s="309" customFormat="1" ht="15"/>
    <row r="70" s="309" customFormat="1" ht="15"/>
    <row r="71" s="309" customFormat="1" ht="15"/>
    <row r="72" s="309" customFormat="1" ht="15"/>
    <row r="73" s="309" customFormat="1" ht="15"/>
    <row r="74" s="309" customFormat="1" ht="15"/>
    <row r="75" s="309" customFormat="1" ht="15"/>
    <row r="76" s="309" customFormat="1" ht="15"/>
    <row r="77" s="309" customFormat="1" ht="15"/>
    <row r="78" s="309" customFormat="1" ht="15"/>
    <row r="79" s="309" customFormat="1" ht="15"/>
    <row r="80" s="309" customFormat="1" ht="15"/>
    <row r="81" s="309" customFormat="1" ht="15"/>
    <row r="82" s="309" customFormat="1" ht="15"/>
    <row r="83" s="309" customFormat="1" ht="15"/>
    <row r="84" s="309" customFormat="1" ht="15"/>
    <row r="85" s="309" customFormat="1" ht="15"/>
    <row r="86" s="309" customFormat="1" ht="15"/>
    <row r="87" s="309" customFormat="1" ht="15"/>
    <row r="88" s="309" customFormat="1" ht="15"/>
    <row r="89" s="309" customFormat="1" ht="15"/>
    <row r="90" s="309" customFormat="1" ht="15"/>
    <row r="91" s="309" customFormat="1" ht="15"/>
    <row r="92" s="309" customFormat="1" ht="15"/>
    <row r="93" s="309" customFormat="1" ht="15"/>
    <row r="94" s="309" customFormat="1" ht="15"/>
    <row r="95" s="309" customFormat="1" ht="15"/>
    <row r="96" s="309" customFormat="1" ht="15"/>
    <row r="97" s="309" customFormat="1" ht="15"/>
    <row r="98" s="309" customFormat="1" ht="15"/>
    <row r="99" s="309" customFormat="1" ht="15"/>
    <row r="100" s="309" customFormat="1" ht="15"/>
    <row r="101" s="309" customFormat="1" ht="15"/>
    <row r="102" s="309" customFormat="1" ht="15"/>
    <row r="103" s="309" customFormat="1" ht="15"/>
    <row r="104" s="309" customFormat="1" ht="15"/>
    <row r="105" s="309" customFormat="1" ht="15"/>
    <row r="106" s="309" customFormat="1" ht="15"/>
    <row r="107" s="309" customFormat="1" ht="15"/>
    <row r="108" s="309" customFormat="1" ht="15"/>
    <row r="109" s="309" customFormat="1" ht="15"/>
    <row r="110" s="309" customFormat="1" ht="15"/>
    <row r="111" s="309" customFormat="1" ht="15"/>
    <row r="112" s="309" customFormat="1" ht="15"/>
    <row r="113" s="309" customFormat="1" ht="15"/>
    <row r="114" s="309" customFormat="1" ht="15"/>
    <row r="115" s="309" customFormat="1" ht="15"/>
    <row r="116" s="309" customFormat="1" ht="15"/>
    <row r="117" s="309" customFormat="1" ht="15"/>
    <row r="118" s="309" customFormat="1" ht="15"/>
    <row r="119" s="309" customFormat="1" ht="15"/>
    <row r="120" s="309" customFormat="1" ht="15"/>
    <row r="121" s="309" customFormat="1" ht="15"/>
    <row r="122" s="309" customFormat="1" ht="15"/>
    <row r="123" s="309" customFormat="1" ht="15"/>
    <row r="124" s="309" customFormat="1" ht="15"/>
    <row r="125" s="309" customFormat="1" ht="15"/>
    <row r="126" s="309" customFormat="1" ht="15"/>
    <row r="127" s="309" customFormat="1" ht="15"/>
    <row r="128" s="309" customFormat="1" ht="15"/>
    <row r="129" s="309" customFormat="1" ht="15"/>
    <row r="130" s="309" customFormat="1" ht="15"/>
    <row r="131" s="309" customFormat="1" ht="15"/>
    <row r="132" s="309" customFormat="1" ht="15"/>
    <row r="133" s="309" customFormat="1" ht="15"/>
    <row r="134" s="309" customFormat="1" ht="15"/>
    <row r="135" s="309" customFormat="1" ht="15"/>
    <row r="136" s="309" customFormat="1" ht="15"/>
    <row r="137" s="309" customFormat="1" ht="15"/>
    <row r="138" s="309" customFormat="1" ht="15"/>
    <row r="139" s="309" customFormat="1" ht="15"/>
    <row r="140" s="309" customFormat="1" ht="15"/>
    <row r="141" s="309" customFormat="1" ht="15"/>
    <row r="142" s="309" customFormat="1" ht="15"/>
    <row r="143" s="309" customFormat="1" ht="15"/>
    <row r="144" s="309" customFormat="1" ht="15"/>
    <row r="145" s="309" customFormat="1" ht="15"/>
    <row r="146" s="309" customFormat="1" ht="15"/>
    <row r="147" s="309" customFormat="1" ht="15"/>
    <row r="148" s="309" customFormat="1" ht="15"/>
    <row r="149" s="309" customFormat="1" ht="15"/>
    <row r="150" s="309" customFormat="1" ht="15"/>
    <row r="151" s="309" customFormat="1" ht="15"/>
    <row r="152" s="309" customFormat="1" ht="15"/>
    <row r="153" s="309" customFormat="1" ht="15"/>
    <row r="154" s="309" customFormat="1" ht="15"/>
    <row r="155" s="309" customFormat="1" ht="15"/>
    <row r="156" s="309" customFormat="1" ht="15"/>
    <row r="157" s="309" customFormat="1" ht="15"/>
    <row r="158" s="309" customFormat="1" ht="15"/>
    <row r="159" s="309" customFormat="1" ht="15"/>
    <row r="160" s="309" customFormat="1" ht="15"/>
    <row r="161" s="309" customFormat="1" ht="15"/>
    <row r="162" s="309" customFormat="1" ht="15"/>
    <row r="163" s="309" customFormat="1" ht="15"/>
    <row r="164" s="309" customFormat="1" ht="15"/>
    <row r="165" s="309" customFormat="1" ht="15"/>
    <row r="166" s="309" customFormat="1" ht="15"/>
    <row r="167" s="309" customFormat="1" ht="15"/>
    <row r="168" s="309" customFormat="1" ht="15"/>
    <row r="169" s="309" customFormat="1" ht="15"/>
    <row r="170" s="309" customFormat="1" ht="15"/>
    <row r="171" s="309" customFormat="1" ht="15"/>
    <row r="172" s="309" customFormat="1" ht="15"/>
    <row r="173" s="309" customFormat="1" ht="15"/>
    <row r="174" s="309" customFormat="1" ht="15"/>
    <row r="175" s="309" customFormat="1" ht="15"/>
    <row r="176" s="309" customFormat="1" ht="15"/>
    <row r="177" s="309" customFormat="1" ht="15"/>
    <row r="178" s="309" customFormat="1" ht="15"/>
    <row r="179" s="309" customFormat="1" ht="15"/>
    <row r="180" s="309" customFormat="1" ht="15"/>
    <row r="181" s="309" customFormat="1" ht="15"/>
    <row r="182" s="309" customFormat="1" ht="15"/>
    <row r="183" s="309" customFormat="1" ht="15"/>
    <row r="184" s="309" customFormat="1" ht="15"/>
    <row r="185" s="309" customFormat="1" ht="15"/>
    <row r="186" s="309" customFormat="1" ht="15"/>
    <row r="187" s="309" customFormat="1" ht="15"/>
    <row r="188" s="309" customFormat="1" ht="15"/>
    <row r="189" s="309" customFormat="1" ht="15"/>
    <row r="190" s="309" customFormat="1" ht="15"/>
    <row r="191" s="309" customFormat="1" ht="15"/>
    <row r="192" s="309" customFormat="1" ht="15"/>
    <row r="193" s="309" customFormat="1" ht="15"/>
    <row r="194" s="309" customFormat="1" ht="15"/>
    <row r="195" s="309" customFormat="1" ht="15"/>
    <row r="196" s="309" customFormat="1" ht="15"/>
    <row r="197" s="309" customFormat="1" ht="15"/>
    <row r="198" s="309" customFormat="1" ht="15"/>
    <row r="199" s="309" customFormat="1" ht="15"/>
    <row r="200" s="309" customFormat="1" ht="15"/>
    <row r="201" s="309" customFormat="1" ht="15"/>
    <row r="202" s="309" customFormat="1" ht="15"/>
    <row r="203" s="309" customFormat="1" ht="15"/>
    <row r="204" s="309" customFormat="1" ht="15"/>
    <row r="205" s="309" customFormat="1" ht="15"/>
    <row r="206" s="309" customFormat="1" ht="15"/>
    <row r="207" s="309" customFormat="1" ht="15"/>
    <row r="208" s="309" customFormat="1" ht="15"/>
    <row r="209" s="309" customFormat="1" ht="15"/>
    <row r="210" s="309" customFormat="1" ht="15"/>
    <row r="211" s="309" customFormat="1" ht="15"/>
    <row r="212" s="309" customFormat="1" ht="15"/>
    <row r="213" s="309" customFormat="1" ht="15"/>
    <row r="214" s="309" customFormat="1" ht="15"/>
    <row r="215" s="309" customFormat="1" ht="15"/>
    <row r="216" s="309" customFormat="1" ht="15"/>
    <row r="217" s="309" customFormat="1" ht="15"/>
    <row r="218" s="309" customFormat="1" ht="15"/>
    <row r="219" s="309" customFormat="1" ht="15"/>
    <row r="220" s="309" customFormat="1" ht="15"/>
    <row r="221" s="309" customFormat="1" ht="15"/>
    <row r="222" s="309" customFormat="1" ht="15"/>
    <row r="223" s="309" customFormat="1" ht="15"/>
    <row r="224" s="309" customFormat="1" ht="15"/>
    <row r="225" s="309" customFormat="1" ht="15"/>
    <row r="226" s="309" customFormat="1" ht="15"/>
    <row r="227" s="309" customFormat="1" ht="15"/>
    <row r="228" s="309" customFormat="1" ht="15"/>
    <row r="229" s="309" customFormat="1" ht="15"/>
    <row r="230" s="309" customFormat="1" ht="15"/>
    <row r="231" s="309" customFormat="1" ht="15"/>
    <row r="232" s="309" customFormat="1" ht="15"/>
    <row r="233" s="309" customFormat="1" ht="15"/>
    <row r="234" s="309" customFormat="1" ht="15"/>
    <row r="235" s="309" customFormat="1" ht="15"/>
    <row r="236" s="309" customFormat="1" ht="15"/>
    <row r="237" s="309" customFormat="1" ht="15"/>
    <row r="238" s="309" customFormat="1" ht="15"/>
    <row r="239" s="309" customFormat="1" ht="15"/>
    <row r="240" s="309" customFormat="1" ht="15"/>
    <row r="241" s="309" customFormat="1" ht="15"/>
    <row r="242" s="309" customFormat="1" ht="15"/>
    <row r="243" s="309" customFormat="1" ht="15"/>
    <row r="244" s="309" customFormat="1" ht="15"/>
    <row r="245" s="309" customFormat="1" ht="15"/>
    <row r="246" s="309" customFormat="1" ht="15"/>
    <row r="247" s="309" customFormat="1" ht="15"/>
    <row r="248" s="309" customFormat="1" ht="15"/>
    <row r="249" s="309" customFormat="1" ht="15"/>
    <row r="250" s="309" customFormat="1" ht="15"/>
    <row r="251" s="309" customFormat="1" ht="15"/>
    <row r="252" s="309" customFormat="1" ht="15"/>
    <row r="253" s="309" customFormat="1" ht="15"/>
    <row r="254" s="309" customFormat="1" ht="15"/>
    <row r="255" s="309" customFormat="1" ht="15"/>
    <row r="256" s="309" customFormat="1" ht="15"/>
    <row r="257" s="309" customFormat="1" ht="15"/>
    <row r="258" s="309" customFormat="1" ht="15"/>
    <row r="259" s="309" customFormat="1" ht="15"/>
    <row r="260" s="309" customFormat="1" ht="15"/>
    <row r="261" s="309" customFormat="1" ht="15"/>
    <row r="262" s="309" customFormat="1" ht="15"/>
    <row r="263" s="309" customFormat="1" ht="15"/>
    <row r="264" s="309" customFormat="1" ht="15"/>
    <row r="265" s="309" customFormat="1" ht="15"/>
    <row r="266" s="309" customFormat="1" ht="15"/>
    <row r="267" s="309" customFormat="1" ht="15"/>
    <row r="268" s="309" customFormat="1" ht="15"/>
    <row r="269" s="309" customFormat="1" ht="15"/>
    <row r="270" s="309" customFormat="1" ht="15"/>
    <row r="271" s="309" customFormat="1" ht="15"/>
    <row r="272" s="309" customFormat="1" ht="15"/>
    <row r="273" s="309" customFormat="1" ht="15"/>
    <row r="274" s="309" customFormat="1" ht="15"/>
    <row r="275" s="309" customFormat="1" ht="15"/>
    <row r="276" s="309" customFormat="1" ht="15"/>
    <row r="277" s="309" customFormat="1" ht="15"/>
    <row r="278" s="309" customFormat="1" ht="15"/>
    <row r="279" s="309" customFormat="1" ht="15"/>
    <row r="280" s="309" customFormat="1" ht="15"/>
    <row r="281" s="309" customFormat="1" ht="15"/>
    <row r="282" s="309" customFormat="1" ht="15"/>
    <row r="283" s="309" customFormat="1" ht="15"/>
    <row r="284" s="309" customFormat="1" ht="15"/>
    <row r="285" s="309" customFormat="1" ht="15"/>
    <row r="286" s="309" customFormat="1" ht="15"/>
    <row r="287" s="309" customFormat="1" ht="15"/>
    <row r="288" s="309" customFormat="1" ht="15"/>
    <row r="289" s="309" customFormat="1" ht="15"/>
    <row r="290" s="309" customFormat="1" ht="15"/>
    <row r="291" s="309" customFormat="1" ht="15"/>
    <row r="292" s="309" customFormat="1" ht="15"/>
    <row r="293" s="309" customFormat="1" ht="15"/>
    <row r="294" s="309" customFormat="1" ht="15"/>
    <row r="295" s="309" customFormat="1" ht="15"/>
    <row r="296" s="309" customFormat="1" ht="15"/>
    <row r="297" s="309" customFormat="1" ht="15"/>
    <row r="298" s="309" customFormat="1" ht="15"/>
    <row r="299" s="309" customFormat="1" ht="15"/>
    <row r="300" s="309" customFormat="1" ht="15"/>
    <row r="301" s="309" customFormat="1" ht="15"/>
    <row r="302" s="309" customFormat="1" ht="15"/>
    <row r="303" s="309" customFormat="1" ht="15"/>
    <row r="304" s="309" customFormat="1" ht="15"/>
    <row r="305" s="309" customFormat="1" ht="15"/>
    <row r="306" s="309" customFormat="1" ht="15"/>
    <row r="307" s="309" customFormat="1" ht="15"/>
    <row r="308" s="309" customFormat="1" ht="15"/>
    <row r="309" s="309" customFormat="1" ht="15"/>
    <row r="310" s="309" customFormat="1" ht="15"/>
    <row r="311" s="309" customFormat="1" ht="15"/>
    <row r="312" s="309" customFormat="1" ht="15"/>
    <row r="313" s="309" customFormat="1" ht="15"/>
    <row r="314" s="309" customFormat="1" ht="15"/>
    <row r="315" s="309" customFormat="1" ht="15"/>
    <row r="316" s="309" customFormat="1" ht="15"/>
    <row r="317" s="309" customFormat="1" ht="15"/>
    <row r="318" s="309" customFormat="1" ht="15"/>
    <row r="319" s="309" customFormat="1" ht="15"/>
    <row r="320" s="309" customFormat="1" ht="15"/>
    <row r="321" s="309" customFormat="1" ht="15"/>
    <row r="322" s="309" customFormat="1" ht="15"/>
    <row r="323" s="309" customFormat="1" ht="15"/>
    <row r="324" s="309" customFormat="1" ht="15"/>
    <row r="325" s="309" customFormat="1" ht="15"/>
    <row r="326" s="309" customFormat="1" ht="15"/>
    <row r="327" s="309" customFormat="1" ht="15"/>
    <row r="328" s="309" customFormat="1" ht="15"/>
    <row r="329" s="309" customFormat="1" ht="15"/>
    <row r="330" s="309" customFormat="1" ht="15"/>
    <row r="331" s="309" customFormat="1" ht="15"/>
    <row r="332" s="309" customFormat="1" ht="15"/>
    <row r="333" s="309" customFormat="1" ht="15"/>
    <row r="334" s="309" customFormat="1" ht="15"/>
    <row r="335" s="309" customFormat="1" ht="15"/>
    <row r="336" s="309" customFormat="1" ht="15"/>
    <row r="337" s="309" customFormat="1" ht="15"/>
    <row r="338" s="309" customFormat="1" ht="15"/>
    <row r="339" s="309" customFormat="1" ht="15"/>
    <row r="340" s="309" customFormat="1" ht="15"/>
    <row r="341" s="309" customFormat="1" ht="15"/>
    <row r="342" s="309" customFormat="1" ht="15"/>
    <row r="343" s="309" customFormat="1" ht="15"/>
    <row r="344" s="309" customFormat="1" ht="15"/>
    <row r="345" s="309" customFormat="1" ht="15"/>
    <row r="346" s="309" customFormat="1" ht="15"/>
    <row r="347" s="309" customFormat="1" ht="15"/>
    <row r="348" s="309" customFormat="1" ht="15"/>
    <row r="349" s="309" customFormat="1" ht="15"/>
    <row r="350" s="309" customFormat="1" ht="15"/>
    <row r="351" s="309" customFormat="1" ht="15"/>
    <row r="352" s="309" customFormat="1" ht="15"/>
    <row r="353" s="309" customFormat="1" ht="15"/>
    <row r="354" s="309" customFormat="1" ht="15"/>
    <row r="355" s="309" customFormat="1" ht="15"/>
    <row r="356" s="309" customFormat="1" ht="15"/>
    <row r="357" s="309" customFormat="1" ht="15"/>
    <row r="358" s="309" customFormat="1" ht="15"/>
    <row r="359" s="309" customFormat="1" ht="15"/>
    <row r="360" s="309" customFormat="1" ht="15"/>
    <row r="361" s="309" customFormat="1" ht="15"/>
    <row r="362" s="309" customFormat="1" ht="15"/>
    <row r="363" s="309" customFormat="1" ht="15"/>
    <row r="364" s="309" customFormat="1" ht="15"/>
    <row r="365" s="309" customFormat="1" ht="15"/>
    <row r="366" s="309" customFormat="1" ht="15"/>
    <row r="367" s="309" customFormat="1" ht="15"/>
    <row r="368" s="309" customFormat="1" ht="15"/>
    <row r="369" s="309" customFormat="1" ht="15"/>
  </sheetData>
  <sheetProtection password="E69A" sheet="1" objects="1" scenarios="1" selectLockedCells="1" autoFilter="0"/>
  <protectedRanges>
    <protectedRange sqref="C16" name="Range1_2"/>
    <protectedRange sqref="O16 P18:Q18 R17:AB18" name="Range1_5"/>
  </protectedRanges>
  <autoFilter ref="AB6:AB11"/>
  <mergeCells count="16">
    <mergeCell ref="K16:L16"/>
    <mergeCell ref="B12:C12"/>
    <mergeCell ref="B2:Z3"/>
    <mergeCell ref="B4:B5"/>
    <mergeCell ref="W4:W5"/>
    <mergeCell ref="C17:H19"/>
    <mergeCell ref="O19:T19"/>
    <mergeCell ref="X4:X5"/>
    <mergeCell ref="Z4:Z5"/>
    <mergeCell ref="D4:H4"/>
    <mergeCell ref="Y4:Y5"/>
    <mergeCell ref="I4:I5"/>
    <mergeCell ref="C4:C5"/>
    <mergeCell ref="K4:O4"/>
    <mergeCell ref="P4:P5"/>
    <mergeCell ref="R4:V4"/>
  </mergeCells>
  <printOptions/>
  <pageMargins left="0.37" right="0.18" top="0.66" bottom="0.13" header="0.54" footer="0.25"/>
  <pageSetup horizontalDpi="300" verticalDpi="300" orientation="landscape" paperSize="9" scale="95" r:id="rId4"/>
  <ignoredErrors>
    <ignoredError sqref="B6:Z8 B12:H12 J12:O12 Q12:Z12 B10:Z11 B9:W9 X9:Z9" unlockedFormula="1"/>
    <ignoredError sqref="I12 P12" formula="1" unlockedFormula="1"/>
  </ignoredErrors>
  <drawing r:id="rId3"/>
  <legacyDrawing r:id="rId2"/>
</worksheet>
</file>

<file path=xl/worksheets/sheet4.xml><?xml version="1.0" encoding="utf-8"?>
<worksheet xmlns="http://schemas.openxmlformats.org/spreadsheetml/2006/main" xmlns:r="http://schemas.openxmlformats.org/officeDocument/2006/relationships">
  <sheetPr>
    <tabColor rgb="FF00B0F0"/>
  </sheetPr>
  <dimension ref="A2:CL67"/>
  <sheetViews>
    <sheetView showGridLines="0" showRowColHeaders="0" zoomScalePageLayoutView="0" workbookViewId="0" topLeftCell="A1">
      <selection activeCell="AD32" sqref="AD32"/>
    </sheetView>
  </sheetViews>
  <sheetFormatPr defaultColWidth="9.140625" defaultRowHeight="15"/>
  <cols>
    <col min="1" max="1" width="5.00390625" style="306" customWidth="1"/>
    <col min="2" max="2" width="3.7109375" style="1" customWidth="1"/>
    <col min="3" max="3" width="6.28125" style="1" customWidth="1"/>
    <col min="4" max="4" width="6.8515625" style="1" customWidth="1"/>
    <col min="5" max="6" width="4.28125" style="1" customWidth="1"/>
    <col min="7" max="7" width="4.57421875" style="1" customWidth="1"/>
    <col min="8" max="8" width="4.28125" style="1" customWidth="1"/>
    <col min="9" max="9" width="4.7109375" style="1" customWidth="1"/>
    <col min="10" max="10" width="4.57421875" style="1" customWidth="1"/>
    <col min="11" max="11" width="2.57421875" style="1" customWidth="1"/>
    <col min="12" max="14" width="4.28125" style="1" customWidth="1"/>
    <col min="15" max="17" width="4.7109375" style="1" customWidth="1"/>
    <col min="18" max="18" width="1.7109375" style="1" customWidth="1"/>
    <col min="19" max="19" width="3.8515625" style="1" customWidth="1"/>
    <col min="20" max="20" width="3.7109375" style="1" customWidth="1"/>
    <col min="21" max="21" width="7.140625" style="1" customWidth="1"/>
    <col min="22" max="22" width="2.8515625" style="1" customWidth="1"/>
    <col min="23" max="23" width="2.00390625" style="1" customWidth="1"/>
    <col min="24" max="24" width="2.421875" style="1" customWidth="1"/>
    <col min="25" max="25" width="1.421875" style="1" customWidth="1"/>
    <col min="26" max="90" width="9.140625" style="306" customWidth="1"/>
    <col min="91" max="16384" width="9.140625" style="1" customWidth="1"/>
  </cols>
  <sheetData>
    <row r="1" s="306" customFormat="1" ht="20.25" customHeight="1"/>
    <row r="2" spans="1:90" s="4" customFormat="1" ht="19.5" customHeight="1">
      <c r="A2" s="317"/>
      <c r="B2" s="622" t="str">
        <f>CONCATENATE("        AAS arrear bill of  ","  ",DATA!T131,DATA!E3,", ",DATA!V121,", ",DATA!T149,", ",DATA!D8)</f>
        <v>        AAS arrear bill of    Sri.K.Chandra sekhar, Sr.Asst., Mandal Parishad, Jonnagiri</v>
      </c>
      <c r="C2" s="622"/>
      <c r="D2" s="622"/>
      <c r="E2" s="622"/>
      <c r="F2" s="622"/>
      <c r="G2" s="622"/>
      <c r="H2" s="622"/>
      <c r="I2" s="622"/>
      <c r="J2" s="622"/>
      <c r="K2" s="622"/>
      <c r="L2" s="622"/>
      <c r="M2" s="622"/>
      <c r="N2" s="622"/>
      <c r="O2" s="622"/>
      <c r="P2" s="622"/>
      <c r="Q2" s="622"/>
      <c r="R2" s="622"/>
      <c r="S2" s="622"/>
      <c r="T2" s="622"/>
      <c r="U2" s="622"/>
      <c r="V2" s="622"/>
      <c r="W2" s="622"/>
      <c r="X2" s="622"/>
      <c r="Y2" s="622"/>
      <c r="Z2" s="317"/>
      <c r="AA2" s="317"/>
      <c r="AB2" s="317"/>
      <c r="AC2" s="317"/>
      <c r="AD2" s="317"/>
      <c r="AE2" s="317"/>
      <c r="AF2" s="317"/>
      <c r="AG2" s="317"/>
      <c r="AH2" s="317"/>
      <c r="AI2" s="317"/>
      <c r="AJ2" s="317"/>
      <c r="AK2" s="317"/>
      <c r="AL2" s="317"/>
      <c r="AM2" s="317"/>
      <c r="AN2" s="317"/>
      <c r="AO2" s="317"/>
      <c r="AP2" s="317"/>
      <c r="AQ2" s="317"/>
      <c r="AR2" s="317"/>
      <c r="AS2" s="317"/>
      <c r="AT2" s="317"/>
      <c r="AU2" s="317"/>
      <c r="AV2" s="317"/>
      <c r="AW2" s="317"/>
      <c r="AX2" s="317"/>
      <c r="AY2" s="317"/>
      <c r="AZ2" s="317"/>
      <c r="BA2" s="317"/>
      <c r="BB2" s="317"/>
      <c r="BC2" s="317"/>
      <c r="BD2" s="317"/>
      <c r="BE2" s="317"/>
      <c r="BF2" s="317"/>
      <c r="BG2" s="317"/>
      <c r="BH2" s="317"/>
      <c r="BI2" s="317"/>
      <c r="BJ2" s="317"/>
      <c r="BK2" s="317"/>
      <c r="BL2" s="317"/>
      <c r="BM2" s="317"/>
      <c r="BN2" s="317"/>
      <c r="BO2" s="317"/>
      <c r="BP2" s="317"/>
      <c r="BQ2" s="317"/>
      <c r="BR2" s="317"/>
      <c r="BS2" s="317"/>
      <c r="BT2" s="317"/>
      <c r="BU2" s="317"/>
      <c r="BV2" s="317"/>
      <c r="BW2" s="317"/>
      <c r="BX2" s="317"/>
      <c r="BY2" s="317"/>
      <c r="BZ2" s="317"/>
      <c r="CA2" s="317"/>
      <c r="CB2" s="317"/>
      <c r="CC2" s="317"/>
      <c r="CD2" s="317"/>
      <c r="CE2" s="317"/>
      <c r="CF2" s="317"/>
      <c r="CG2" s="317"/>
      <c r="CH2" s="317"/>
      <c r="CI2" s="317"/>
      <c r="CJ2" s="317"/>
      <c r="CK2" s="317"/>
      <c r="CL2" s="317"/>
    </row>
    <row r="3" spans="2:25" ht="16.5" customHeight="1" thickBot="1">
      <c r="B3" s="160"/>
      <c r="C3" s="621" t="str">
        <f>CONCATENATE("Payable At Sub-Treasury Office - ",DATA!I16)</f>
        <v>Payable At Sub-Treasury Office - STO, Pathikonda</v>
      </c>
      <c r="D3" s="621"/>
      <c r="E3" s="621"/>
      <c r="F3" s="621"/>
      <c r="G3" s="621"/>
      <c r="H3" s="621"/>
      <c r="I3" s="621"/>
      <c r="J3" s="621"/>
      <c r="K3" s="621"/>
      <c r="L3" s="621"/>
      <c r="M3" s="621"/>
      <c r="N3" s="621"/>
      <c r="O3" s="621"/>
      <c r="P3" s="621"/>
      <c r="Q3" s="621"/>
      <c r="R3" s="621"/>
      <c r="S3" s="621"/>
      <c r="T3" s="621"/>
      <c r="U3" s="621"/>
      <c r="V3" s="620">
        <f>DATA!AM114</f>
        <v>41699</v>
      </c>
      <c r="W3" s="620"/>
      <c r="X3" s="620"/>
      <c r="Y3" s="620"/>
    </row>
    <row r="4" spans="2:25" ht="15.75" customHeight="1">
      <c r="B4" s="161"/>
      <c r="C4" s="667" t="str">
        <f>CONCATENATE("GOVERNMENT OF ",DATA!AD128)</f>
        <v>GOVERNMENT OF TELANGANA</v>
      </c>
      <c r="D4" s="668"/>
      <c r="E4" s="668"/>
      <c r="F4" s="668"/>
      <c r="G4" s="668"/>
      <c r="H4" s="668"/>
      <c r="I4" s="668"/>
      <c r="J4" s="668"/>
      <c r="K4" s="668"/>
      <c r="L4" s="668"/>
      <c r="M4" s="668"/>
      <c r="N4" s="668"/>
      <c r="O4" s="668"/>
      <c r="P4" s="668"/>
      <c r="Q4" s="668"/>
      <c r="R4" s="668"/>
      <c r="S4" s="668"/>
      <c r="T4" s="668"/>
      <c r="U4" s="668"/>
      <c r="V4" s="668"/>
      <c r="W4" s="668"/>
      <c r="X4" s="668"/>
      <c r="Y4" s="669"/>
    </row>
    <row r="5" spans="2:25" ht="14.25" customHeight="1">
      <c r="B5" s="161"/>
      <c r="C5" s="615" t="s">
        <v>560</v>
      </c>
      <c r="D5" s="616"/>
      <c r="E5" s="616"/>
      <c r="F5" s="616"/>
      <c r="G5" s="616"/>
      <c r="H5" s="616"/>
      <c r="I5" s="616"/>
      <c r="J5" s="616"/>
      <c r="K5" s="616"/>
      <c r="L5" s="616"/>
      <c r="M5" s="616"/>
      <c r="N5" s="616"/>
      <c r="O5" s="616"/>
      <c r="P5" s="616"/>
      <c r="Q5" s="616"/>
      <c r="R5" s="616"/>
      <c r="S5" s="616"/>
      <c r="T5" s="616"/>
      <c r="U5" s="616"/>
      <c r="V5" s="616"/>
      <c r="W5" s="616"/>
      <c r="X5" s="616"/>
      <c r="Y5" s="617"/>
    </row>
    <row r="6" spans="2:25" ht="15" customHeight="1">
      <c r="B6" s="161"/>
      <c r="C6" s="162"/>
      <c r="D6" s="163"/>
      <c r="E6" s="163"/>
      <c r="F6" s="163"/>
      <c r="G6" s="163"/>
      <c r="H6" s="163"/>
      <c r="I6" s="163"/>
      <c r="J6" s="163"/>
      <c r="K6" s="163"/>
      <c r="L6" s="163"/>
      <c r="M6" s="163"/>
      <c r="N6" s="163"/>
      <c r="O6" s="163"/>
      <c r="P6" s="163"/>
      <c r="Q6" s="163"/>
      <c r="R6" s="163"/>
      <c r="S6" s="670" t="s">
        <v>84</v>
      </c>
      <c r="T6" s="671"/>
      <c r="U6" s="671"/>
      <c r="V6" s="671"/>
      <c r="W6" s="671"/>
      <c r="X6" s="671"/>
      <c r="Y6" s="672"/>
    </row>
    <row r="7" spans="2:25" ht="15.75">
      <c r="B7" s="161"/>
      <c r="C7" s="673" t="s">
        <v>85</v>
      </c>
      <c r="D7" s="674"/>
      <c r="E7" s="674"/>
      <c r="F7" s="675"/>
      <c r="G7" s="164">
        <f>DATA!AC116</f>
        <v>0</v>
      </c>
      <c r="H7" s="164">
        <f>DATA!AD116</f>
        <v>3</v>
      </c>
      <c r="I7" s="165"/>
      <c r="J7" s="164">
        <v>2</v>
      </c>
      <c r="K7" s="164">
        <v>0</v>
      </c>
      <c r="L7" s="164">
        <f>DATA!AF117</f>
        <v>1</v>
      </c>
      <c r="M7" s="164">
        <f>DATA!AG117</f>
        <v>4</v>
      </c>
      <c r="N7" s="166"/>
      <c r="O7" s="166"/>
      <c r="P7" s="163"/>
      <c r="Q7" s="163"/>
      <c r="R7" s="167"/>
      <c r="S7" s="168" t="s">
        <v>86</v>
      </c>
      <c r="T7" s="167"/>
      <c r="U7" s="167"/>
      <c r="V7" s="167"/>
      <c r="W7" s="167"/>
      <c r="X7" s="167"/>
      <c r="Y7" s="169"/>
    </row>
    <row r="8" spans="2:25" ht="9" customHeight="1">
      <c r="B8" s="161"/>
      <c r="C8" s="170"/>
      <c r="D8" s="171"/>
      <c r="E8" s="171"/>
      <c r="F8" s="171"/>
      <c r="G8" s="172"/>
      <c r="H8" s="172"/>
      <c r="I8" s="173"/>
      <c r="J8" s="173"/>
      <c r="K8" s="173"/>
      <c r="L8" s="173"/>
      <c r="M8" s="173"/>
      <c r="N8" s="163"/>
      <c r="O8" s="163"/>
      <c r="P8" s="163"/>
      <c r="Q8" s="163"/>
      <c r="R8" s="167"/>
      <c r="S8" s="174"/>
      <c r="T8" s="167"/>
      <c r="U8" s="167"/>
      <c r="V8" s="167"/>
      <c r="W8" s="167"/>
      <c r="X8" s="167"/>
      <c r="Y8" s="169"/>
    </row>
    <row r="9" spans="2:25" ht="15">
      <c r="B9" s="161"/>
      <c r="C9" s="656" t="s">
        <v>87</v>
      </c>
      <c r="D9" s="657"/>
      <c r="E9" s="657"/>
      <c r="F9" s="658"/>
      <c r="G9" s="661" t="str">
        <f>DATA!M16</f>
        <v>0913</v>
      </c>
      <c r="H9" s="662"/>
      <c r="I9" s="662"/>
      <c r="J9" s="663"/>
      <c r="K9" s="173"/>
      <c r="L9" s="173"/>
      <c r="M9" s="173"/>
      <c r="N9" s="163"/>
      <c r="O9" s="163"/>
      <c r="P9" s="163"/>
      <c r="Q9" s="163"/>
      <c r="R9" s="175"/>
      <c r="S9" s="659" t="s">
        <v>88</v>
      </c>
      <c r="T9" s="660"/>
      <c r="U9" s="654"/>
      <c r="V9" s="654"/>
      <c r="W9" s="654"/>
      <c r="X9" s="654"/>
      <c r="Y9" s="655"/>
    </row>
    <row r="10" spans="2:25" ht="7.5" customHeight="1">
      <c r="B10" s="161"/>
      <c r="C10" s="170"/>
      <c r="D10" s="171"/>
      <c r="E10" s="171"/>
      <c r="F10" s="171"/>
      <c r="G10" s="173"/>
      <c r="H10" s="173"/>
      <c r="I10" s="173"/>
      <c r="J10" s="173"/>
      <c r="K10" s="173"/>
      <c r="L10" s="173"/>
      <c r="M10" s="173"/>
      <c r="N10" s="163"/>
      <c r="O10" s="163"/>
      <c r="P10" s="163"/>
      <c r="Q10" s="163"/>
      <c r="R10" s="175"/>
      <c r="S10" s="176"/>
      <c r="T10" s="177"/>
      <c r="U10" s="177"/>
      <c r="V10" s="177"/>
      <c r="W10" s="177"/>
      <c r="X10" s="177"/>
      <c r="Y10" s="178"/>
    </row>
    <row r="11" spans="2:25" ht="7.5" customHeight="1">
      <c r="B11" s="161"/>
      <c r="C11" s="170"/>
      <c r="D11" s="171"/>
      <c r="E11" s="171"/>
      <c r="F11" s="171"/>
      <c r="G11" s="173"/>
      <c r="H11" s="173"/>
      <c r="I11" s="173"/>
      <c r="J11" s="173"/>
      <c r="K11" s="173"/>
      <c r="L11" s="173"/>
      <c r="M11" s="173"/>
      <c r="N11" s="163"/>
      <c r="O11" s="163"/>
      <c r="P11" s="163"/>
      <c r="Q11" s="163"/>
      <c r="R11" s="175"/>
      <c r="S11" s="179"/>
      <c r="T11" s="179"/>
      <c r="U11" s="179"/>
      <c r="V11" s="179"/>
      <c r="W11" s="179"/>
      <c r="X11" s="179"/>
      <c r="Y11" s="180"/>
    </row>
    <row r="12" spans="2:28" ht="15">
      <c r="B12" s="161"/>
      <c r="C12" s="680" t="s">
        <v>89</v>
      </c>
      <c r="D12" s="649"/>
      <c r="E12" s="649"/>
      <c r="F12" s="649"/>
      <c r="G12" s="665" t="str">
        <f>DATA!D16</f>
        <v>09130308020</v>
      </c>
      <c r="H12" s="665"/>
      <c r="I12" s="665"/>
      <c r="J12" s="665"/>
      <c r="K12" s="665"/>
      <c r="L12" s="181"/>
      <c r="M12" s="173"/>
      <c r="N12" s="163"/>
      <c r="O12" s="163"/>
      <c r="P12" s="163"/>
      <c r="Q12" s="163"/>
      <c r="R12" s="175"/>
      <c r="S12" s="664" t="s">
        <v>151</v>
      </c>
      <c r="T12" s="664"/>
      <c r="U12" s="652" t="str">
        <f>DATA!L15</f>
        <v>Kurnool</v>
      </c>
      <c r="V12" s="652"/>
      <c r="W12" s="652"/>
      <c r="X12" s="652"/>
      <c r="Y12" s="653"/>
      <c r="AB12" s="318"/>
    </row>
    <row r="13" spans="2:25" ht="7.5" customHeight="1">
      <c r="B13" s="161"/>
      <c r="C13" s="182"/>
      <c r="D13" s="167"/>
      <c r="E13" s="167"/>
      <c r="F13" s="167"/>
      <c r="G13" s="175"/>
      <c r="H13" s="175"/>
      <c r="I13" s="175"/>
      <c r="J13" s="175"/>
      <c r="K13" s="175"/>
      <c r="L13" s="175"/>
      <c r="M13" s="175"/>
      <c r="N13" s="175"/>
      <c r="O13" s="175"/>
      <c r="P13" s="175"/>
      <c r="Q13" s="175"/>
      <c r="R13" s="175"/>
      <c r="S13" s="167"/>
      <c r="T13" s="167"/>
      <c r="U13" s="167"/>
      <c r="V13" s="167"/>
      <c r="W13" s="167"/>
      <c r="X13" s="167"/>
      <c r="Y13" s="183"/>
    </row>
    <row r="14" spans="2:25" ht="19.5" customHeight="1">
      <c r="B14" s="161"/>
      <c r="C14" s="182" t="s">
        <v>90</v>
      </c>
      <c r="D14" s="167"/>
      <c r="E14" s="167"/>
      <c r="F14" s="167"/>
      <c r="G14" s="631" t="str">
        <f>DATA!D19</f>
        <v>Mandal Education Officer</v>
      </c>
      <c r="H14" s="631"/>
      <c r="I14" s="631"/>
      <c r="J14" s="631"/>
      <c r="K14" s="631"/>
      <c r="L14" s="631"/>
      <c r="M14" s="631"/>
      <c r="N14" s="649" t="s">
        <v>91</v>
      </c>
      <c r="O14" s="649"/>
      <c r="P14" s="649"/>
      <c r="Q14" s="649"/>
      <c r="R14" s="649"/>
      <c r="S14" s="676" t="str">
        <f>CONCATENATE(DATA!O145,", ",DATA!P145)</f>
        <v>Mandal Development  Officer, Mandal Parishad</v>
      </c>
      <c r="T14" s="676"/>
      <c r="U14" s="676"/>
      <c r="V14" s="676"/>
      <c r="W14" s="676"/>
      <c r="X14" s="676"/>
      <c r="Y14" s="677"/>
    </row>
    <row r="15" spans="2:25" ht="7.5" customHeight="1">
      <c r="B15" s="161"/>
      <c r="C15" s="182"/>
      <c r="D15" s="167"/>
      <c r="E15" s="167"/>
      <c r="F15" s="167"/>
      <c r="G15" s="167"/>
      <c r="H15" s="167"/>
      <c r="I15" s="167"/>
      <c r="J15" s="167"/>
      <c r="K15" s="167"/>
      <c r="L15" s="167"/>
      <c r="M15" s="167"/>
      <c r="N15" s="167"/>
      <c r="O15" s="167"/>
      <c r="P15" s="167"/>
      <c r="Q15" s="167"/>
      <c r="R15" s="167"/>
      <c r="S15" s="676"/>
      <c r="T15" s="676"/>
      <c r="U15" s="676"/>
      <c r="V15" s="676"/>
      <c r="W15" s="676"/>
      <c r="X15" s="676"/>
      <c r="Y15" s="677"/>
    </row>
    <row r="16" spans="2:28" ht="15">
      <c r="B16" s="161"/>
      <c r="C16" s="182" t="s">
        <v>92</v>
      </c>
      <c r="D16" s="167"/>
      <c r="E16" s="167"/>
      <c r="F16" s="167"/>
      <c r="G16" s="646" t="str">
        <f>DATA!I17</f>
        <v>0981</v>
      </c>
      <c r="H16" s="647"/>
      <c r="I16" s="647"/>
      <c r="J16" s="648"/>
      <c r="K16" s="184"/>
      <c r="L16" s="184"/>
      <c r="M16" s="167"/>
      <c r="N16" s="167"/>
      <c r="O16" s="644" t="s">
        <v>93</v>
      </c>
      <c r="P16" s="644"/>
      <c r="Q16" s="644"/>
      <c r="R16" s="644"/>
      <c r="S16" s="627" t="str">
        <f>DATA!D17</f>
        <v>State Bank of India, Pathikonda</v>
      </c>
      <c r="T16" s="627"/>
      <c r="U16" s="627"/>
      <c r="V16" s="627"/>
      <c r="W16" s="627"/>
      <c r="X16" s="627"/>
      <c r="Y16" s="628"/>
      <c r="AB16" s="319"/>
    </row>
    <row r="17" spans="2:25" ht="7.5" customHeight="1">
      <c r="B17" s="161"/>
      <c r="C17" s="182"/>
      <c r="D17" s="167"/>
      <c r="E17" s="167"/>
      <c r="F17" s="167"/>
      <c r="G17" s="163"/>
      <c r="H17" s="163"/>
      <c r="I17" s="163"/>
      <c r="J17" s="163"/>
      <c r="K17" s="185"/>
      <c r="L17" s="185"/>
      <c r="M17" s="167"/>
      <c r="N17" s="167"/>
      <c r="O17" s="167"/>
      <c r="P17" s="167"/>
      <c r="Q17" s="167"/>
      <c r="R17" s="167"/>
      <c r="S17" s="627"/>
      <c r="T17" s="627"/>
      <c r="U17" s="627"/>
      <c r="V17" s="627"/>
      <c r="W17" s="627"/>
      <c r="X17" s="627"/>
      <c r="Y17" s="628"/>
    </row>
    <row r="18" spans="2:25" ht="15">
      <c r="B18" s="161"/>
      <c r="C18" s="182" t="s">
        <v>94</v>
      </c>
      <c r="D18" s="167"/>
      <c r="E18" s="167"/>
      <c r="F18" s="167"/>
      <c r="G18" s="186">
        <v>0</v>
      </c>
      <c r="H18" s="186"/>
      <c r="I18" s="186"/>
      <c r="J18" s="187"/>
      <c r="K18" s="645" t="s">
        <v>152</v>
      </c>
      <c r="L18" s="645"/>
      <c r="M18" s="645"/>
      <c r="N18" s="167"/>
      <c r="O18" s="167"/>
      <c r="P18" s="167"/>
      <c r="Q18" s="167"/>
      <c r="R18" s="167"/>
      <c r="S18" s="167"/>
      <c r="T18" s="167"/>
      <c r="U18" s="167"/>
      <c r="V18" s="167"/>
      <c r="W18" s="167"/>
      <c r="X18" s="167"/>
      <c r="Y18" s="183"/>
    </row>
    <row r="19" spans="2:25" ht="15" customHeight="1" thickBot="1">
      <c r="B19" s="690" t="str">
        <f>CONCATENATE("UNDER RUPEES:",DATA!AL148,"  Only")</f>
        <v>UNDER RUPEES:    Nine Hundred and Fifty Five rupees only   Only</v>
      </c>
      <c r="C19" s="188"/>
      <c r="D19" s="189"/>
      <c r="E19" s="189"/>
      <c r="F19" s="189"/>
      <c r="G19" s="189"/>
      <c r="H19" s="189"/>
      <c r="I19" s="189"/>
      <c r="J19" s="189"/>
      <c r="K19" s="189"/>
      <c r="L19" s="189"/>
      <c r="M19" s="189"/>
      <c r="N19" s="189"/>
      <c r="O19" s="189"/>
      <c r="P19" s="189"/>
      <c r="Q19" s="189"/>
      <c r="R19" s="189"/>
      <c r="S19" s="190" t="s">
        <v>551</v>
      </c>
      <c r="T19" s="189"/>
      <c r="U19" s="189"/>
      <c r="V19" s="189"/>
      <c r="W19" s="189"/>
      <c r="X19" s="189"/>
      <c r="Y19" s="191"/>
    </row>
    <row r="20" spans="2:25" ht="15">
      <c r="B20" s="690"/>
      <c r="C20" s="618" t="s">
        <v>95</v>
      </c>
      <c r="D20" s="619"/>
      <c r="E20" s="619"/>
      <c r="F20" s="167"/>
      <c r="G20" s="167"/>
      <c r="H20" s="167"/>
      <c r="I20" s="167"/>
      <c r="J20" s="167"/>
      <c r="K20" s="167"/>
      <c r="L20" s="167"/>
      <c r="M20" s="192"/>
      <c r="N20" s="629" t="s">
        <v>96</v>
      </c>
      <c r="O20" s="630"/>
      <c r="P20" s="630"/>
      <c r="Q20" s="630"/>
      <c r="R20" s="630"/>
      <c r="S20" s="630"/>
      <c r="T20" s="167"/>
      <c r="U20" s="630" t="s">
        <v>97</v>
      </c>
      <c r="V20" s="630"/>
      <c r="W20" s="630"/>
      <c r="X20" s="630"/>
      <c r="Y20" s="632"/>
    </row>
    <row r="21" spans="2:25" ht="18" customHeight="1">
      <c r="B21" s="690"/>
      <c r="C21" s="182" t="s">
        <v>98</v>
      </c>
      <c r="D21" s="167"/>
      <c r="E21" s="167"/>
      <c r="F21" s="193">
        <f>DATA!U6</f>
        <v>2</v>
      </c>
      <c r="G21" s="193">
        <f>DATA!V6</f>
        <v>2</v>
      </c>
      <c r="H21" s="193">
        <f>DATA!W6</f>
        <v>0</v>
      </c>
      <c r="I21" s="193">
        <f>DATA!X6</f>
        <v>2</v>
      </c>
      <c r="J21" s="175" t="str">
        <f>DATA!Y6</f>
        <v>General Education</v>
      </c>
      <c r="K21" s="175"/>
      <c r="L21" s="175"/>
      <c r="M21" s="175"/>
      <c r="N21" s="174">
        <v>1</v>
      </c>
      <c r="O21" s="167" t="s">
        <v>271</v>
      </c>
      <c r="P21" s="167"/>
      <c r="Q21" s="167"/>
      <c r="R21" s="167"/>
      <c r="S21" s="167"/>
      <c r="T21" s="167" t="s">
        <v>99</v>
      </c>
      <c r="U21" s="697"/>
      <c r="V21" s="697"/>
      <c r="W21" s="697"/>
      <c r="X21" s="697"/>
      <c r="Y21" s="698"/>
    </row>
    <row r="22" spans="2:25" ht="6" customHeight="1">
      <c r="B22" s="690"/>
      <c r="C22" s="182"/>
      <c r="D22" s="167"/>
      <c r="E22" s="167"/>
      <c r="F22" s="175"/>
      <c r="G22" s="175"/>
      <c r="H22" s="175"/>
      <c r="I22" s="175"/>
      <c r="J22" s="175"/>
      <c r="K22" s="175"/>
      <c r="L22" s="175"/>
      <c r="M22" s="175"/>
      <c r="N22" s="174"/>
      <c r="O22" s="167"/>
      <c r="P22" s="167"/>
      <c r="Q22" s="167"/>
      <c r="R22" s="167"/>
      <c r="S22" s="167"/>
      <c r="T22" s="167"/>
      <c r="U22" s="194"/>
      <c r="V22" s="194"/>
      <c r="W22" s="194"/>
      <c r="X22" s="194"/>
      <c r="Y22" s="195"/>
    </row>
    <row r="23" spans="2:25" ht="15">
      <c r="B23" s="690"/>
      <c r="C23" s="182" t="s">
        <v>100</v>
      </c>
      <c r="D23" s="167"/>
      <c r="E23" s="167"/>
      <c r="F23" s="193">
        <f>DATA!U8</f>
        <v>0</v>
      </c>
      <c r="G23" s="193">
        <f>DATA!P168</f>
        <v>2</v>
      </c>
      <c r="H23" s="196"/>
      <c r="I23" s="175" t="str">
        <f>DATA!P169</f>
        <v>Secondary Education</v>
      </c>
      <c r="J23" s="175"/>
      <c r="K23" s="175"/>
      <c r="L23" s="175"/>
      <c r="M23" s="175"/>
      <c r="N23" s="174">
        <v>2</v>
      </c>
      <c r="O23" s="167" t="s">
        <v>101</v>
      </c>
      <c r="P23" s="167"/>
      <c r="Q23" s="167"/>
      <c r="R23" s="167"/>
      <c r="S23" s="167"/>
      <c r="T23" s="167" t="s">
        <v>99</v>
      </c>
      <c r="U23" s="623"/>
      <c r="V23" s="623"/>
      <c r="W23" s="623"/>
      <c r="X23" s="623"/>
      <c r="Y23" s="699"/>
    </row>
    <row r="24" spans="2:25" ht="6" customHeight="1">
      <c r="B24" s="690"/>
      <c r="C24" s="182"/>
      <c r="D24" s="167"/>
      <c r="E24" s="167"/>
      <c r="F24" s="196"/>
      <c r="G24" s="196"/>
      <c r="H24" s="196"/>
      <c r="I24" s="175"/>
      <c r="J24" s="175"/>
      <c r="K24" s="175"/>
      <c r="L24" s="175"/>
      <c r="M24" s="175"/>
      <c r="N24" s="174"/>
      <c r="O24" s="167"/>
      <c r="P24" s="167"/>
      <c r="Q24" s="167"/>
      <c r="R24" s="167"/>
      <c r="S24" s="167"/>
      <c r="T24" s="167"/>
      <c r="U24" s="194"/>
      <c r="V24" s="197"/>
      <c r="W24" s="197"/>
      <c r="X24" s="197"/>
      <c r="Y24" s="198"/>
    </row>
    <row r="25" spans="2:25" ht="24" customHeight="1">
      <c r="B25" s="690"/>
      <c r="C25" s="182" t="s">
        <v>102</v>
      </c>
      <c r="D25" s="167"/>
      <c r="E25" s="167"/>
      <c r="F25" s="193">
        <f>DATA!U10</f>
        <v>1</v>
      </c>
      <c r="G25" s="193">
        <f>DATA!R169</f>
        <v>9</v>
      </c>
      <c r="H25" s="193">
        <f>DATA!S169</f>
        <v>1</v>
      </c>
      <c r="I25" s="700" t="str">
        <f>DATA!P170</f>
        <v>Assistance to Local Bodies for Secondary Education</v>
      </c>
      <c r="J25" s="635"/>
      <c r="K25" s="635"/>
      <c r="L25" s="635"/>
      <c r="M25" s="636"/>
      <c r="N25" s="174">
        <v>3</v>
      </c>
      <c r="O25" s="167" t="s">
        <v>103</v>
      </c>
      <c r="P25" s="167"/>
      <c r="Q25" s="167"/>
      <c r="R25" s="167"/>
      <c r="S25" s="167"/>
      <c r="T25" s="167" t="s">
        <v>99</v>
      </c>
      <c r="U25" s="633"/>
      <c r="V25" s="633"/>
      <c r="W25" s="633"/>
      <c r="X25" s="633"/>
      <c r="Y25" s="634"/>
    </row>
    <row r="26" spans="2:25" ht="6" customHeight="1">
      <c r="B26" s="690"/>
      <c r="C26" s="182"/>
      <c r="D26" s="167"/>
      <c r="E26" s="167"/>
      <c r="F26" s="196"/>
      <c r="G26" s="196"/>
      <c r="H26" s="196"/>
      <c r="I26" s="175"/>
      <c r="J26" s="175"/>
      <c r="K26" s="175"/>
      <c r="L26" s="175"/>
      <c r="M26" s="175"/>
      <c r="N26" s="174"/>
      <c r="O26" s="167"/>
      <c r="P26" s="167"/>
      <c r="Q26" s="167"/>
      <c r="R26" s="167"/>
      <c r="S26" s="167"/>
      <c r="T26" s="167"/>
      <c r="U26" s="194"/>
      <c r="V26" s="194"/>
      <c r="W26" s="194"/>
      <c r="X26" s="194"/>
      <c r="Y26" s="195"/>
    </row>
    <row r="27" spans="2:25" ht="15">
      <c r="B27" s="690"/>
      <c r="C27" s="199" t="s">
        <v>104</v>
      </c>
      <c r="D27" s="167"/>
      <c r="E27" s="167"/>
      <c r="F27" s="193">
        <f>DATA!U12</f>
        <v>0</v>
      </c>
      <c r="G27" s="193">
        <f>DATA!V12</f>
        <v>0</v>
      </c>
      <c r="H27" s="163"/>
      <c r="I27" s="639">
        <f>DATA!X12</f>
        <v>0</v>
      </c>
      <c r="J27" s="639"/>
      <c r="K27" s="639"/>
      <c r="L27" s="639"/>
      <c r="M27" s="640"/>
      <c r="N27" s="174">
        <v>4</v>
      </c>
      <c r="O27" s="167" t="s">
        <v>105</v>
      </c>
      <c r="P27" s="167"/>
      <c r="Q27" s="167"/>
      <c r="R27" s="167"/>
      <c r="S27" s="167"/>
      <c r="T27" s="167" t="s">
        <v>99</v>
      </c>
      <c r="U27" s="633">
        <f>Bill!X12</f>
        <v>0</v>
      </c>
      <c r="V27" s="633"/>
      <c r="W27" s="633"/>
      <c r="X27" s="633"/>
      <c r="Y27" s="634"/>
    </row>
    <row r="28" spans="2:25" ht="6" customHeight="1">
      <c r="B28" s="690"/>
      <c r="C28" s="182"/>
      <c r="D28" s="167"/>
      <c r="E28" s="167"/>
      <c r="F28" s="163"/>
      <c r="G28" s="163"/>
      <c r="H28" s="163"/>
      <c r="I28" s="639"/>
      <c r="J28" s="639"/>
      <c r="K28" s="639"/>
      <c r="L28" s="639"/>
      <c r="M28" s="640"/>
      <c r="N28" s="174"/>
      <c r="O28" s="167"/>
      <c r="P28" s="167"/>
      <c r="Q28" s="167"/>
      <c r="R28" s="167"/>
      <c r="S28" s="167"/>
      <c r="T28" s="167"/>
      <c r="U28" s="194"/>
      <c r="V28" s="194"/>
      <c r="W28" s="194"/>
      <c r="X28" s="194"/>
      <c r="Y28" s="195"/>
    </row>
    <row r="29" spans="2:25" ht="24" customHeight="1">
      <c r="B29" s="690"/>
      <c r="C29" s="182" t="s">
        <v>106</v>
      </c>
      <c r="D29" s="167"/>
      <c r="E29" s="167"/>
      <c r="F29" s="193">
        <f>DATA!U14</f>
        <v>0</v>
      </c>
      <c r="G29" s="193">
        <f>DATA!T171</f>
        <v>5</v>
      </c>
      <c r="H29" s="163"/>
      <c r="I29" s="635" t="str">
        <f>DATA!P171</f>
        <v>Teaching Grant to Zilla Praja Parishads</v>
      </c>
      <c r="J29" s="635"/>
      <c r="K29" s="635"/>
      <c r="L29" s="635"/>
      <c r="M29" s="636"/>
      <c r="N29" s="174">
        <v>5</v>
      </c>
      <c r="O29" s="167" t="s">
        <v>107</v>
      </c>
      <c r="P29" s="167"/>
      <c r="Q29" s="167"/>
      <c r="R29" s="167"/>
      <c r="S29" s="167"/>
      <c r="T29" s="167" t="s">
        <v>99</v>
      </c>
      <c r="U29" s="625"/>
      <c r="V29" s="625"/>
      <c r="W29" s="625"/>
      <c r="X29" s="625"/>
      <c r="Y29" s="626"/>
    </row>
    <row r="30" spans="2:25" ht="6" customHeight="1">
      <c r="B30" s="690"/>
      <c r="C30" s="182"/>
      <c r="D30" s="167"/>
      <c r="E30" s="167"/>
      <c r="F30" s="163"/>
      <c r="G30" s="163"/>
      <c r="H30" s="163"/>
      <c r="I30" s="175"/>
      <c r="J30" s="175"/>
      <c r="K30" s="175"/>
      <c r="L30" s="175"/>
      <c r="M30" s="175"/>
      <c r="N30" s="174"/>
      <c r="O30" s="167"/>
      <c r="P30" s="167"/>
      <c r="Q30" s="167"/>
      <c r="R30" s="167"/>
      <c r="S30" s="167"/>
      <c r="T30" s="167"/>
      <c r="U30" s="194"/>
      <c r="V30" s="194"/>
      <c r="W30" s="194"/>
      <c r="X30" s="194"/>
      <c r="Y30" s="195"/>
    </row>
    <row r="31" spans="2:25" ht="15">
      <c r="B31" s="690"/>
      <c r="C31" s="182" t="s">
        <v>108</v>
      </c>
      <c r="D31" s="167"/>
      <c r="E31" s="167"/>
      <c r="F31" s="193">
        <f>DATA!U16</f>
        <v>0</v>
      </c>
      <c r="G31" s="193">
        <f>DATA!V16</f>
        <v>1</v>
      </c>
      <c r="H31" s="193">
        <f>DATA!W16</f>
        <v>0</v>
      </c>
      <c r="I31" s="641" t="str">
        <f>DATA!X16</f>
        <v>Salaries</v>
      </c>
      <c r="J31" s="642"/>
      <c r="K31" s="642"/>
      <c r="L31" s="642"/>
      <c r="M31" s="643"/>
      <c r="N31" s="174">
        <v>6</v>
      </c>
      <c r="O31" s="200" t="s">
        <v>110</v>
      </c>
      <c r="P31" s="167"/>
      <c r="Q31" s="167"/>
      <c r="R31" s="167"/>
      <c r="S31" s="167"/>
      <c r="T31" s="167" t="s">
        <v>99</v>
      </c>
      <c r="U31" s="625"/>
      <c r="V31" s="625"/>
      <c r="W31" s="625"/>
      <c r="X31" s="625"/>
      <c r="Y31" s="626"/>
    </row>
    <row r="32" spans="2:25" ht="15">
      <c r="B32" s="690"/>
      <c r="C32" s="201"/>
      <c r="D32" s="177"/>
      <c r="E32" s="177"/>
      <c r="F32" s="202"/>
      <c r="G32" s="202"/>
      <c r="H32" s="202"/>
      <c r="I32" s="202"/>
      <c r="J32" s="202"/>
      <c r="K32" s="202"/>
      <c r="L32" s="202"/>
      <c r="M32" s="203"/>
      <c r="N32" s="174">
        <v>7</v>
      </c>
      <c r="O32" s="167" t="s">
        <v>111</v>
      </c>
      <c r="P32" s="167"/>
      <c r="Q32" s="167"/>
      <c r="R32" s="167"/>
      <c r="S32" s="167"/>
      <c r="T32" s="167" t="s">
        <v>99</v>
      </c>
      <c r="U32" s="625"/>
      <c r="V32" s="625"/>
      <c r="W32" s="625"/>
      <c r="X32" s="625"/>
      <c r="Y32" s="626"/>
    </row>
    <row r="33" spans="2:25" ht="15">
      <c r="B33" s="690"/>
      <c r="C33" s="182"/>
      <c r="D33" s="167"/>
      <c r="E33" s="167"/>
      <c r="F33" s="167"/>
      <c r="G33" s="167"/>
      <c r="H33" s="167"/>
      <c r="I33" s="167"/>
      <c r="J33" s="167"/>
      <c r="K33" s="167"/>
      <c r="L33" s="167"/>
      <c r="M33" s="167"/>
      <c r="N33" s="174">
        <v>8</v>
      </c>
      <c r="O33" s="167" t="s">
        <v>112</v>
      </c>
      <c r="P33" s="167"/>
      <c r="Q33" s="167"/>
      <c r="R33" s="167"/>
      <c r="S33" s="167"/>
      <c r="T33" s="167" t="s">
        <v>99</v>
      </c>
      <c r="U33" s="625"/>
      <c r="V33" s="625"/>
      <c r="W33" s="625"/>
      <c r="X33" s="625"/>
      <c r="Y33" s="626"/>
    </row>
    <row r="34" spans="2:25" ht="15">
      <c r="B34" s="690"/>
      <c r="C34" s="199" t="s">
        <v>113</v>
      </c>
      <c r="D34" s="167"/>
      <c r="E34" s="167"/>
      <c r="F34" s="167"/>
      <c r="G34" s="193" t="s">
        <v>114</v>
      </c>
      <c r="H34" s="200" t="s">
        <v>115</v>
      </c>
      <c r="I34" s="167"/>
      <c r="J34" s="167"/>
      <c r="K34" s="167"/>
      <c r="L34" s="193" t="s">
        <v>116</v>
      </c>
      <c r="M34" s="167"/>
      <c r="N34" s="174">
        <v>9</v>
      </c>
      <c r="O34" s="167" t="s">
        <v>117</v>
      </c>
      <c r="P34" s="167"/>
      <c r="Q34" s="167"/>
      <c r="R34" s="167"/>
      <c r="S34" s="167"/>
      <c r="T34" s="167" t="s">
        <v>99</v>
      </c>
      <c r="U34" s="625"/>
      <c r="V34" s="625"/>
      <c r="W34" s="625"/>
      <c r="X34" s="625"/>
      <c r="Y34" s="626"/>
    </row>
    <row r="35" spans="2:25" ht="15">
      <c r="B35" s="690"/>
      <c r="C35" s="199" t="s">
        <v>118</v>
      </c>
      <c r="D35" s="167"/>
      <c r="E35" s="167"/>
      <c r="F35" s="167"/>
      <c r="G35" s="167"/>
      <c r="H35" s="167"/>
      <c r="I35" s="167"/>
      <c r="J35" s="167"/>
      <c r="K35" s="167"/>
      <c r="L35" s="167"/>
      <c r="M35" s="167"/>
      <c r="N35" s="174">
        <v>10</v>
      </c>
      <c r="O35" s="167" t="s">
        <v>119</v>
      </c>
      <c r="P35" s="167"/>
      <c r="Q35" s="167"/>
      <c r="R35" s="167"/>
      <c r="S35" s="167"/>
      <c r="T35" s="167" t="s">
        <v>99</v>
      </c>
      <c r="U35" s="625"/>
      <c r="V35" s="625"/>
      <c r="W35" s="625"/>
      <c r="X35" s="625"/>
      <c r="Y35" s="626"/>
    </row>
    <row r="36" spans="2:25" ht="15">
      <c r="B36" s="690"/>
      <c r="C36" s="199" t="s">
        <v>120</v>
      </c>
      <c r="D36" s="167"/>
      <c r="E36" s="167"/>
      <c r="F36" s="167"/>
      <c r="G36" s="193">
        <v>2</v>
      </c>
      <c r="H36" s="193">
        <v>2</v>
      </c>
      <c r="I36" s="193">
        <v>0</v>
      </c>
      <c r="J36" s="193">
        <v>2</v>
      </c>
      <c r="K36" s="167"/>
      <c r="L36" s="167"/>
      <c r="M36" s="167"/>
      <c r="N36" s="174">
        <v>11</v>
      </c>
      <c r="O36" s="167" t="s">
        <v>121</v>
      </c>
      <c r="P36" s="167"/>
      <c r="Q36" s="167"/>
      <c r="R36" s="167"/>
      <c r="S36" s="167"/>
      <c r="T36" s="167" t="s">
        <v>99</v>
      </c>
      <c r="U36" s="625"/>
      <c r="V36" s="625"/>
      <c r="W36" s="625"/>
      <c r="X36" s="625"/>
      <c r="Y36" s="626"/>
    </row>
    <row r="37" spans="2:25" ht="15">
      <c r="B37" s="690"/>
      <c r="C37" s="201"/>
      <c r="D37" s="177"/>
      <c r="E37" s="177"/>
      <c r="F37" s="177"/>
      <c r="G37" s="177"/>
      <c r="H37" s="177"/>
      <c r="I37" s="177"/>
      <c r="J37" s="177"/>
      <c r="K37" s="177"/>
      <c r="L37" s="177"/>
      <c r="M37" s="204"/>
      <c r="N37" s="174">
        <v>12</v>
      </c>
      <c r="O37" s="205" t="s">
        <v>122</v>
      </c>
      <c r="P37" s="167"/>
      <c r="Q37" s="167"/>
      <c r="R37" s="167"/>
      <c r="S37" s="167"/>
      <c r="T37" s="167" t="s">
        <v>99</v>
      </c>
      <c r="U37" s="650"/>
      <c r="V37" s="650"/>
      <c r="W37" s="650"/>
      <c r="X37" s="650"/>
      <c r="Y37" s="651"/>
    </row>
    <row r="38" spans="2:25" ht="15.75" customHeight="1">
      <c r="B38" s="690"/>
      <c r="C38" s="182"/>
      <c r="D38" s="167"/>
      <c r="E38" s="167"/>
      <c r="F38" s="167"/>
      <c r="G38" s="167"/>
      <c r="H38" s="167"/>
      <c r="I38" s="167"/>
      <c r="J38" s="167"/>
      <c r="K38" s="167"/>
      <c r="L38" s="167"/>
      <c r="M38" s="167"/>
      <c r="N38" s="174">
        <v>13</v>
      </c>
      <c r="O38" s="205" t="s">
        <v>123</v>
      </c>
      <c r="P38" s="167"/>
      <c r="Q38" s="167"/>
      <c r="R38" s="167"/>
      <c r="S38" s="167"/>
      <c r="T38" s="167" t="s">
        <v>99</v>
      </c>
      <c r="U38" s="625"/>
      <c r="V38" s="625"/>
      <c r="W38" s="625"/>
      <c r="X38" s="625"/>
      <c r="Y38" s="626"/>
    </row>
    <row r="39" spans="2:25" ht="15">
      <c r="B39" s="690"/>
      <c r="C39" s="206" t="s">
        <v>124</v>
      </c>
      <c r="D39" s="207"/>
      <c r="E39" s="207"/>
      <c r="F39" s="207"/>
      <c r="G39" s="207"/>
      <c r="H39" s="167" t="s">
        <v>99</v>
      </c>
      <c r="I39" s="623">
        <f>Bill!R12</f>
        <v>471</v>
      </c>
      <c r="J39" s="623"/>
      <c r="K39" s="623"/>
      <c r="L39" s="623"/>
      <c r="M39" s="624"/>
      <c r="N39" s="167">
        <v>14</v>
      </c>
      <c r="O39" s="167" t="s">
        <v>125</v>
      </c>
      <c r="P39" s="167"/>
      <c r="Q39" s="167"/>
      <c r="R39" s="167"/>
      <c r="S39" s="167"/>
      <c r="T39" s="167" t="s">
        <v>99</v>
      </c>
      <c r="U39" s="625"/>
      <c r="V39" s="625"/>
      <c r="W39" s="625"/>
      <c r="X39" s="625"/>
      <c r="Y39" s="626"/>
    </row>
    <row r="40" spans="2:25" ht="15">
      <c r="B40" s="690"/>
      <c r="C40" s="206" t="s">
        <v>126</v>
      </c>
      <c r="D40" s="207"/>
      <c r="E40" s="207"/>
      <c r="F40" s="207"/>
      <c r="G40" s="207"/>
      <c r="H40" s="167" t="s">
        <v>99</v>
      </c>
      <c r="I40" s="637"/>
      <c r="J40" s="637"/>
      <c r="K40" s="637"/>
      <c r="L40" s="637"/>
      <c r="M40" s="638"/>
      <c r="N40" s="167">
        <v>15</v>
      </c>
      <c r="O40" s="167" t="s">
        <v>127</v>
      </c>
      <c r="P40" s="167"/>
      <c r="Q40" s="167"/>
      <c r="R40" s="167"/>
      <c r="S40" s="167"/>
      <c r="T40" s="167" t="s">
        <v>99</v>
      </c>
      <c r="U40" s="625"/>
      <c r="V40" s="625"/>
      <c r="W40" s="625"/>
      <c r="X40" s="625"/>
      <c r="Y40" s="626"/>
    </row>
    <row r="41" spans="2:25" ht="15">
      <c r="B41" s="690"/>
      <c r="C41" s="206" t="s">
        <v>128</v>
      </c>
      <c r="D41" s="207"/>
      <c r="E41" s="207"/>
      <c r="F41" s="207"/>
      <c r="G41" s="207"/>
      <c r="H41" s="167" t="s">
        <v>99</v>
      </c>
      <c r="I41" s="678">
        <f>Bill!S12</f>
        <v>299</v>
      </c>
      <c r="J41" s="678"/>
      <c r="K41" s="678"/>
      <c r="L41" s="678"/>
      <c r="M41" s="679"/>
      <c r="N41" s="167">
        <v>16</v>
      </c>
      <c r="O41" s="167" t="s">
        <v>129</v>
      </c>
      <c r="P41" s="167"/>
      <c r="Q41" s="167"/>
      <c r="R41" s="167"/>
      <c r="S41" s="167"/>
      <c r="T41" s="167" t="s">
        <v>99</v>
      </c>
      <c r="U41" s="625"/>
      <c r="V41" s="625"/>
      <c r="W41" s="625"/>
      <c r="X41" s="625"/>
      <c r="Y41" s="626"/>
    </row>
    <row r="42" spans="2:25" ht="15">
      <c r="B42" s="690"/>
      <c r="C42" s="206" t="s">
        <v>130</v>
      </c>
      <c r="D42" s="207"/>
      <c r="E42" s="207"/>
      <c r="F42" s="207"/>
      <c r="G42" s="207"/>
      <c r="H42" s="167" t="s">
        <v>99</v>
      </c>
      <c r="I42" s="623">
        <f>Bill!U12</f>
        <v>127</v>
      </c>
      <c r="J42" s="623"/>
      <c r="K42" s="623"/>
      <c r="L42" s="623"/>
      <c r="M42" s="624"/>
      <c r="N42" s="167">
        <v>17</v>
      </c>
      <c r="O42" s="167" t="s">
        <v>131</v>
      </c>
      <c r="P42" s="167"/>
      <c r="Q42" s="167"/>
      <c r="R42" s="167"/>
      <c r="S42" s="167"/>
      <c r="T42" s="167" t="s">
        <v>99</v>
      </c>
      <c r="U42" s="625"/>
      <c r="V42" s="625"/>
      <c r="W42" s="625"/>
      <c r="X42" s="625"/>
      <c r="Y42" s="626"/>
    </row>
    <row r="43" spans="2:25" ht="15">
      <c r="B43" s="690"/>
      <c r="C43" s="206" t="s">
        <v>132</v>
      </c>
      <c r="D43" s="207"/>
      <c r="E43" s="207"/>
      <c r="F43" s="207"/>
      <c r="G43" s="207"/>
      <c r="H43" s="167" t="s">
        <v>99</v>
      </c>
      <c r="I43" s="637">
        <f>Bill!T12</f>
        <v>57</v>
      </c>
      <c r="J43" s="637"/>
      <c r="K43" s="637"/>
      <c r="L43" s="637"/>
      <c r="M43" s="638"/>
      <c r="N43" s="167">
        <v>18</v>
      </c>
      <c r="O43" s="205" t="s">
        <v>133</v>
      </c>
      <c r="P43" s="167"/>
      <c r="Q43" s="167"/>
      <c r="R43" s="167"/>
      <c r="S43" s="167"/>
      <c r="T43" s="167" t="s">
        <v>99</v>
      </c>
      <c r="U43" s="625"/>
      <c r="V43" s="625"/>
      <c r="W43" s="625"/>
      <c r="X43" s="625"/>
      <c r="Y43" s="626"/>
    </row>
    <row r="44" spans="2:25" ht="15">
      <c r="B44" s="690"/>
      <c r="C44" s="182"/>
      <c r="D44" s="167"/>
      <c r="E44" s="167"/>
      <c r="F44" s="167"/>
      <c r="G44" s="167"/>
      <c r="H44" s="167" t="s">
        <v>99</v>
      </c>
      <c r="I44" s="650"/>
      <c r="J44" s="650"/>
      <c r="K44" s="650"/>
      <c r="L44" s="650"/>
      <c r="M44" s="666"/>
      <c r="N44" s="167">
        <v>19</v>
      </c>
      <c r="O44" s="167" t="s">
        <v>134</v>
      </c>
      <c r="P44" s="167"/>
      <c r="Q44" s="167"/>
      <c r="R44" s="167"/>
      <c r="S44" s="167"/>
      <c r="T44" s="167" t="s">
        <v>99</v>
      </c>
      <c r="U44" s="625"/>
      <c r="V44" s="625"/>
      <c r="W44" s="625"/>
      <c r="X44" s="625"/>
      <c r="Y44" s="626"/>
    </row>
    <row r="45" spans="2:25" ht="15">
      <c r="B45" s="690"/>
      <c r="C45" s="182"/>
      <c r="D45" s="167"/>
      <c r="E45" s="167"/>
      <c r="F45" s="167"/>
      <c r="G45" s="167"/>
      <c r="H45" s="167" t="s">
        <v>99</v>
      </c>
      <c r="I45" s="650"/>
      <c r="J45" s="650"/>
      <c r="K45" s="650"/>
      <c r="L45" s="650"/>
      <c r="M45" s="666"/>
      <c r="N45" s="167">
        <v>20</v>
      </c>
      <c r="O45" s="167" t="s">
        <v>477</v>
      </c>
      <c r="P45" s="167"/>
      <c r="Q45" s="167"/>
      <c r="R45" s="167"/>
      <c r="S45" s="167"/>
      <c r="T45" s="167" t="s">
        <v>99</v>
      </c>
      <c r="U45" s="633">
        <f>Bill!W12</f>
        <v>0</v>
      </c>
      <c r="V45" s="633"/>
      <c r="W45" s="633"/>
      <c r="X45" s="633"/>
      <c r="Y45" s="634"/>
    </row>
    <row r="46" spans="2:25" ht="15">
      <c r="B46" s="690"/>
      <c r="C46" s="182"/>
      <c r="D46" s="167"/>
      <c r="E46" s="208" t="e">
        <v>#REF!</v>
      </c>
      <c r="F46" s="167"/>
      <c r="G46" s="167"/>
      <c r="H46" s="167" t="s">
        <v>99</v>
      </c>
      <c r="I46" s="701"/>
      <c r="J46" s="701"/>
      <c r="K46" s="701"/>
      <c r="L46" s="701"/>
      <c r="M46" s="702"/>
      <c r="N46" s="167"/>
      <c r="O46" s="167"/>
      <c r="P46" s="167"/>
      <c r="Q46" s="167"/>
      <c r="R46" s="167"/>
      <c r="S46" s="167"/>
      <c r="T46" s="167" t="s">
        <v>99</v>
      </c>
      <c r="U46" s="633" t="str">
        <f>IF('[2]BILL'!AF92=0," ",'[2]BILL'!AF92)</f>
        <v> </v>
      </c>
      <c r="V46" s="633"/>
      <c r="W46" s="633"/>
      <c r="X46" s="633"/>
      <c r="Y46" s="634"/>
    </row>
    <row r="47" spans="2:25" ht="15">
      <c r="B47" s="690"/>
      <c r="C47" s="182"/>
      <c r="D47" s="167"/>
      <c r="E47" s="167"/>
      <c r="F47" s="167"/>
      <c r="G47" s="167"/>
      <c r="H47" s="167" t="s">
        <v>99</v>
      </c>
      <c r="I47" s="650"/>
      <c r="J47" s="650"/>
      <c r="K47" s="650"/>
      <c r="L47" s="650"/>
      <c r="M47" s="666"/>
      <c r="N47" s="209" t="s">
        <v>135</v>
      </c>
      <c r="O47" s="209"/>
      <c r="P47" s="209"/>
      <c r="Q47" s="209"/>
      <c r="R47" s="209"/>
      <c r="S47" s="209"/>
      <c r="T47" s="209" t="s">
        <v>99</v>
      </c>
      <c r="U47" s="683">
        <f>SUM(U21:U46)</f>
        <v>0</v>
      </c>
      <c r="V47" s="683"/>
      <c r="W47" s="683"/>
      <c r="X47" s="683"/>
      <c r="Y47" s="684"/>
    </row>
    <row r="48" spans="2:26" ht="15">
      <c r="B48" s="690"/>
      <c r="C48" s="182" t="s">
        <v>136</v>
      </c>
      <c r="D48" s="167"/>
      <c r="E48" s="167"/>
      <c r="F48" s="167"/>
      <c r="G48" s="167"/>
      <c r="H48" s="167" t="s">
        <v>99</v>
      </c>
      <c r="I48" s="678">
        <f>SUM(I39:M47)</f>
        <v>954</v>
      </c>
      <c r="J48" s="678"/>
      <c r="K48" s="678"/>
      <c r="L48" s="678"/>
      <c r="M48" s="679"/>
      <c r="N48" s="200" t="s">
        <v>137</v>
      </c>
      <c r="O48" s="167"/>
      <c r="P48" s="167"/>
      <c r="Q48" s="167"/>
      <c r="R48" s="167"/>
      <c r="S48" s="167"/>
      <c r="T48" s="210" t="s">
        <v>99</v>
      </c>
      <c r="U48" s="179"/>
      <c r="V48" s="179"/>
      <c r="W48" s="179"/>
      <c r="X48" s="179"/>
      <c r="Y48" s="180"/>
      <c r="Z48" s="320"/>
    </row>
    <row r="49" spans="2:26" ht="15">
      <c r="B49" s="690"/>
      <c r="C49" s="182" t="s">
        <v>138</v>
      </c>
      <c r="D49" s="167"/>
      <c r="E49" s="167"/>
      <c r="F49" s="167"/>
      <c r="G49" s="167"/>
      <c r="H49" s="167" t="s">
        <v>99</v>
      </c>
      <c r="I49" s="678">
        <f>U47</f>
        <v>0</v>
      </c>
      <c r="J49" s="678"/>
      <c r="K49" s="678"/>
      <c r="L49" s="678"/>
      <c r="M49" s="679"/>
      <c r="N49" s="167"/>
      <c r="O49" s="167"/>
      <c r="P49" s="167"/>
      <c r="Q49" s="167"/>
      <c r="R49" s="167"/>
      <c r="S49" s="167"/>
      <c r="T49" s="167"/>
      <c r="U49" s="167"/>
      <c r="V49" s="167"/>
      <c r="W49" s="167"/>
      <c r="X49" s="167"/>
      <c r="Y49" s="183"/>
      <c r="Z49" s="320"/>
    </row>
    <row r="50" spans="2:26" ht="15">
      <c r="B50" s="690"/>
      <c r="C50" s="182" t="s">
        <v>139</v>
      </c>
      <c r="D50" s="167"/>
      <c r="E50" s="167"/>
      <c r="F50" s="167"/>
      <c r="G50" s="167"/>
      <c r="H50" s="167" t="s">
        <v>99</v>
      </c>
      <c r="I50" s="623">
        <f>I48-I49</f>
        <v>954</v>
      </c>
      <c r="J50" s="623"/>
      <c r="K50" s="623"/>
      <c r="L50" s="623"/>
      <c r="M50" s="624"/>
      <c r="N50" s="167"/>
      <c r="O50" s="167"/>
      <c r="P50" s="211"/>
      <c r="Q50" s="167"/>
      <c r="R50" s="167"/>
      <c r="S50" s="167"/>
      <c r="T50" s="167"/>
      <c r="U50" s="167"/>
      <c r="V50" s="167"/>
      <c r="W50" s="167"/>
      <c r="X50" s="167"/>
      <c r="Y50" s="183"/>
      <c r="Z50" s="320"/>
    </row>
    <row r="51" spans="2:26" ht="15">
      <c r="B51" s="690"/>
      <c r="C51" s="182" t="s">
        <v>140</v>
      </c>
      <c r="D51" s="167"/>
      <c r="E51" s="167"/>
      <c r="F51" s="167"/>
      <c r="G51" s="167"/>
      <c r="H51" s="167"/>
      <c r="I51" s="212"/>
      <c r="J51" s="212"/>
      <c r="K51" s="212"/>
      <c r="L51" s="212"/>
      <c r="M51" s="213"/>
      <c r="N51" s="167"/>
      <c r="O51" s="167"/>
      <c r="P51" s="167"/>
      <c r="Q51" s="167"/>
      <c r="R51" s="167"/>
      <c r="S51" s="167"/>
      <c r="T51" s="167"/>
      <c r="U51" s="167"/>
      <c r="V51" s="167"/>
      <c r="W51" s="167"/>
      <c r="X51" s="167"/>
      <c r="Y51" s="183"/>
      <c r="Z51" s="320"/>
    </row>
    <row r="52" spans="2:26" ht="2.25" customHeight="1">
      <c r="B52" s="690"/>
      <c r="C52" s="615" t="str">
        <f>CONCATENATE(DATA!AL142," only")</f>
        <v>    Nine Hundred and Fifty Four rupees only  only</v>
      </c>
      <c r="D52" s="616"/>
      <c r="E52" s="616"/>
      <c r="F52" s="616"/>
      <c r="G52" s="616"/>
      <c r="H52" s="616"/>
      <c r="I52" s="616"/>
      <c r="J52" s="616"/>
      <c r="K52" s="616"/>
      <c r="L52" s="616"/>
      <c r="M52" s="686"/>
      <c r="N52" s="214"/>
      <c r="O52" s="214"/>
      <c r="P52" s="214"/>
      <c r="Q52" s="214"/>
      <c r="R52" s="214"/>
      <c r="S52" s="215"/>
      <c r="T52" s="215"/>
      <c r="U52" s="215"/>
      <c r="V52" s="215"/>
      <c r="W52" s="215"/>
      <c r="X52" s="215"/>
      <c r="Y52" s="216"/>
      <c r="Z52" s="320"/>
    </row>
    <row r="53" spans="2:26" ht="15">
      <c r="B53" s="690"/>
      <c r="C53" s="687"/>
      <c r="D53" s="688"/>
      <c r="E53" s="688"/>
      <c r="F53" s="688"/>
      <c r="G53" s="688"/>
      <c r="H53" s="688"/>
      <c r="I53" s="688"/>
      <c r="J53" s="688"/>
      <c r="K53" s="688"/>
      <c r="L53" s="688"/>
      <c r="M53" s="689"/>
      <c r="N53" s="176"/>
      <c r="O53" s="177"/>
      <c r="P53" s="177"/>
      <c r="Q53" s="177"/>
      <c r="R53" s="177"/>
      <c r="S53" s="177"/>
      <c r="T53" s="685" t="s">
        <v>141</v>
      </c>
      <c r="U53" s="685"/>
      <c r="V53" s="685"/>
      <c r="W53" s="685"/>
      <c r="X53" s="685"/>
      <c r="Y53" s="217"/>
      <c r="Z53" s="320"/>
    </row>
    <row r="54" spans="2:26" ht="15">
      <c r="B54" s="690"/>
      <c r="C54" s="691" t="s">
        <v>142</v>
      </c>
      <c r="D54" s="692"/>
      <c r="E54" s="692"/>
      <c r="F54" s="692"/>
      <c r="G54" s="692"/>
      <c r="H54" s="692"/>
      <c r="I54" s="692"/>
      <c r="J54" s="692"/>
      <c r="K54" s="692"/>
      <c r="L54" s="692"/>
      <c r="M54" s="692"/>
      <c r="N54" s="692"/>
      <c r="O54" s="692"/>
      <c r="P54" s="692"/>
      <c r="Q54" s="692"/>
      <c r="R54" s="692"/>
      <c r="S54" s="692"/>
      <c r="T54" s="692"/>
      <c r="U54" s="692"/>
      <c r="V54" s="692"/>
      <c r="W54" s="692"/>
      <c r="X54" s="692"/>
      <c r="Y54" s="693"/>
      <c r="Z54" s="320"/>
    </row>
    <row r="55" spans="2:26" ht="15">
      <c r="B55" s="690"/>
      <c r="C55" s="182" t="s">
        <v>46</v>
      </c>
      <c r="D55" s="167" t="s">
        <v>143</v>
      </c>
      <c r="E55" s="167"/>
      <c r="F55" s="167"/>
      <c r="G55" s="167"/>
      <c r="H55" s="167"/>
      <c r="I55" s="167" t="s">
        <v>478</v>
      </c>
      <c r="J55" s="167"/>
      <c r="K55" s="167"/>
      <c r="L55" s="167"/>
      <c r="M55" s="167"/>
      <c r="N55" s="167"/>
      <c r="O55" s="167"/>
      <c r="P55" s="167"/>
      <c r="Q55" s="167"/>
      <c r="R55" s="167"/>
      <c r="S55" s="167"/>
      <c r="T55" s="167"/>
      <c r="U55" s="167"/>
      <c r="V55" s="167"/>
      <c r="W55" s="167"/>
      <c r="X55" s="167"/>
      <c r="Y55" s="183"/>
      <c r="Z55" s="320"/>
    </row>
    <row r="56" spans="2:26" ht="15">
      <c r="B56" s="690"/>
      <c r="C56" s="218" t="s">
        <v>144</v>
      </c>
      <c r="D56" s="167"/>
      <c r="E56" s="167"/>
      <c r="F56" s="167"/>
      <c r="G56" s="167"/>
      <c r="H56" s="167"/>
      <c r="I56" s="167"/>
      <c r="J56" s="167"/>
      <c r="K56" s="167"/>
      <c r="L56" s="167"/>
      <c r="M56" s="167"/>
      <c r="N56" s="167"/>
      <c r="O56" s="167"/>
      <c r="P56" s="167"/>
      <c r="Q56" s="167"/>
      <c r="R56" s="167"/>
      <c r="S56" s="167"/>
      <c r="T56" s="167"/>
      <c r="U56" s="167"/>
      <c r="V56" s="167"/>
      <c r="W56" s="167"/>
      <c r="X56" s="167"/>
      <c r="Y56" s="183"/>
      <c r="Z56" s="320"/>
    </row>
    <row r="57" spans="2:26" ht="15">
      <c r="B57" s="690"/>
      <c r="C57" s="694" t="s">
        <v>145</v>
      </c>
      <c r="D57" s="695"/>
      <c r="E57" s="695"/>
      <c r="F57" s="695"/>
      <c r="G57" s="695"/>
      <c r="H57" s="695"/>
      <c r="I57" s="695"/>
      <c r="J57" s="695"/>
      <c r="K57" s="695"/>
      <c r="L57" s="695"/>
      <c r="M57" s="695"/>
      <c r="N57" s="695"/>
      <c r="O57" s="695"/>
      <c r="P57" s="695"/>
      <c r="Q57" s="695"/>
      <c r="R57" s="695"/>
      <c r="S57" s="695"/>
      <c r="T57" s="695"/>
      <c r="U57" s="695"/>
      <c r="V57" s="695"/>
      <c r="W57" s="695"/>
      <c r="X57" s="695"/>
      <c r="Y57" s="696"/>
      <c r="Z57" s="320"/>
    </row>
    <row r="58" spans="2:26" ht="15">
      <c r="B58" s="681">
        <f>I50+1</f>
        <v>955</v>
      </c>
      <c r="C58" s="218" t="s">
        <v>146</v>
      </c>
      <c r="D58" s="167"/>
      <c r="E58" s="167"/>
      <c r="F58" s="167"/>
      <c r="G58" s="167"/>
      <c r="H58" s="167"/>
      <c r="I58" s="167"/>
      <c r="J58" s="167"/>
      <c r="K58" s="167"/>
      <c r="L58" s="167"/>
      <c r="M58" s="167"/>
      <c r="N58" s="167"/>
      <c r="O58" s="167"/>
      <c r="P58" s="167"/>
      <c r="Q58" s="167"/>
      <c r="R58" s="167"/>
      <c r="S58" s="167"/>
      <c r="T58" s="167"/>
      <c r="U58" s="167"/>
      <c r="V58" s="167"/>
      <c r="W58" s="167"/>
      <c r="X58" s="167"/>
      <c r="Y58" s="183"/>
      <c r="Z58" s="320"/>
    </row>
    <row r="59" spans="2:26" ht="15">
      <c r="B59" s="682"/>
      <c r="C59" s="182"/>
      <c r="D59" s="167"/>
      <c r="E59" s="167"/>
      <c r="F59" s="167"/>
      <c r="G59" s="167"/>
      <c r="H59" s="167"/>
      <c r="I59" s="167"/>
      <c r="J59" s="167"/>
      <c r="K59" s="167"/>
      <c r="L59" s="167"/>
      <c r="M59" s="167"/>
      <c r="N59" s="167"/>
      <c r="O59" s="167"/>
      <c r="P59" s="167"/>
      <c r="Q59" s="167"/>
      <c r="R59" s="167"/>
      <c r="S59" s="167"/>
      <c r="T59" s="167"/>
      <c r="U59" s="167"/>
      <c r="V59" s="167"/>
      <c r="W59" s="167"/>
      <c r="X59" s="167"/>
      <c r="Y59" s="183"/>
      <c r="Z59" s="320"/>
    </row>
    <row r="60" spans="2:26" ht="15">
      <c r="B60" s="682"/>
      <c r="C60" s="182"/>
      <c r="D60" s="167"/>
      <c r="E60" s="167"/>
      <c r="F60" s="200" t="s">
        <v>147</v>
      </c>
      <c r="G60" s="167"/>
      <c r="H60" s="167"/>
      <c r="I60" s="167"/>
      <c r="J60" s="167"/>
      <c r="K60" s="167"/>
      <c r="L60" s="167"/>
      <c r="M60" s="167"/>
      <c r="N60" s="167"/>
      <c r="O60" s="167"/>
      <c r="P60" s="167"/>
      <c r="Q60" s="167"/>
      <c r="R60" s="167"/>
      <c r="S60" s="167"/>
      <c r="T60" s="167"/>
      <c r="U60" s="167"/>
      <c r="V60" s="167"/>
      <c r="W60" s="167"/>
      <c r="X60" s="167"/>
      <c r="Y60" s="183"/>
      <c r="Z60" s="320"/>
    </row>
    <row r="61" spans="2:26" ht="15">
      <c r="B61" s="682"/>
      <c r="C61" s="182"/>
      <c r="D61" s="167"/>
      <c r="E61" s="167"/>
      <c r="F61" s="200" t="s">
        <v>148</v>
      </c>
      <c r="G61" s="167"/>
      <c r="H61" s="167"/>
      <c r="I61" s="167"/>
      <c r="J61" s="167"/>
      <c r="K61" s="167"/>
      <c r="L61" s="167"/>
      <c r="M61" s="167"/>
      <c r="N61" s="167"/>
      <c r="O61" s="167"/>
      <c r="P61" s="167"/>
      <c r="Q61" s="167"/>
      <c r="R61" s="167"/>
      <c r="S61" s="167"/>
      <c r="T61" s="167"/>
      <c r="U61" s="167"/>
      <c r="V61" s="167"/>
      <c r="W61" s="167"/>
      <c r="X61" s="167"/>
      <c r="Y61" s="183"/>
      <c r="Z61" s="320"/>
    </row>
    <row r="62" spans="2:26" ht="15">
      <c r="B62" s="682"/>
      <c r="C62" s="182"/>
      <c r="D62" s="167"/>
      <c r="E62" s="167"/>
      <c r="F62" s="167"/>
      <c r="G62" s="167"/>
      <c r="H62" s="167"/>
      <c r="I62" s="167"/>
      <c r="J62" s="167"/>
      <c r="K62" s="167"/>
      <c r="L62" s="167"/>
      <c r="M62" s="167"/>
      <c r="N62" s="167"/>
      <c r="O62" s="167"/>
      <c r="P62" s="167"/>
      <c r="Q62" s="167"/>
      <c r="R62" s="167"/>
      <c r="S62" s="167"/>
      <c r="T62" s="167"/>
      <c r="U62" s="167"/>
      <c r="V62" s="167"/>
      <c r="W62" s="167"/>
      <c r="X62" s="167"/>
      <c r="Y62" s="183"/>
      <c r="Z62" s="320"/>
    </row>
    <row r="63" spans="2:26" ht="20.25" thickBot="1">
      <c r="B63" s="219" t="s">
        <v>149</v>
      </c>
      <c r="C63" s="220"/>
      <c r="D63" s="221"/>
      <c r="E63" s="221"/>
      <c r="F63" s="221"/>
      <c r="G63" s="221"/>
      <c r="H63" s="221"/>
      <c r="I63" s="221"/>
      <c r="J63" s="221"/>
      <c r="K63" s="221"/>
      <c r="L63" s="221"/>
      <c r="M63" s="221"/>
      <c r="N63" s="221"/>
      <c r="O63" s="221" t="s">
        <v>150</v>
      </c>
      <c r="P63" s="222"/>
      <c r="Q63" s="221"/>
      <c r="R63" s="221"/>
      <c r="S63" s="221"/>
      <c r="T63" s="221"/>
      <c r="U63" s="221"/>
      <c r="V63" s="221"/>
      <c r="W63" s="221"/>
      <c r="X63" s="221"/>
      <c r="Y63" s="223"/>
      <c r="Z63" s="320"/>
    </row>
    <row r="64" spans="2:25" s="306" customFormat="1" ht="15">
      <c r="B64" s="321"/>
      <c r="C64" s="322"/>
      <c r="D64" s="322"/>
      <c r="E64" s="322"/>
      <c r="F64" s="322"/>
      <c r="G64" s="322"/>
      <c r="H64" s="322"/>
      <c r="I64" s="322"/>
      <c r="J64" s="322"/>
      <c r="K64" s="322"/>
      <c r="L64" s="322"/>
      <c r="M64" s="322"/>
      <c r="N64" s="322"/>
      <c r="O64" s="322"/>
      <c r="P64" s="322"/>
      <c r="Q64" s="322"/>
      <c r="R64" s="322"/>
      <c r="S64" s="322"/>
      <c r="T64" s="322"/>
      <c r="U64" s="322"/>
      <c r="V64" s="322"/>
      <c r="W64" s="322"/>
      <c r="X64" s="322"/>
      <c r="Y64" s="322"/>
    </row>
    <row r="65" spans="2:25" s="306" customFormat="1" ht="15">
      <c r="B65" s="323"/>
      <c r="C65" s="308"/>
      <c r="D65" s="308"/>
      <c r="E65" s="308"/>
      <c r="F65" s="308"/>
      <c r="G65" s="308"/>
      <c r="H65" s="308"/>
      <c r="I65" s="308"/>
      <c r="J65" s="308"/>
      <c r="K65" s="308"/>
      <c r="L65" s="308"/>
      <c r="M65" s="308"/>
      <c r="N65" s="308"/>
      <c r="O65" s="308"/>
      <c r="P65" s="308"/>
      <c r="Q65" s="308"/>
      <c r="R65" s="308"/>
      <c r="S65" s="308"/>
      <c r="T65" s="308"/>
      <c r="U65" s="308"/>
      <c r="V65" s="308"/>
      <c r="W65" s="308"/>
      <c r="X65" s="308"/>
      <c r="Y65" s="308"/>
    </row>
    <row r="66" s="306" customFormat="1" ht="15">
      <c r="B66" s="324"/>
    </row>
    <row r="67" s="306" customFormat="1" ht="15">
      <c r="B67" s="324"/>
    </row>
    <row r="68" s="306" customFormat="1" ht="15"/>
    <row r="69" s="306" customFormat="1" ht="15"/>
    <row r="70" s="306" customFormat="1" ht="15"/>
    <row r="71" s="306" customFormat="1" ht="15"/>
    <row r="72" s="306" customFormat="1" ht="15"/>
    <row r="73" s="306" customFormat="1" ht="15"/>
    <row r="74" s="306" customFormat="1" ht="15"/>
    <row r="75" s="306" customFormat="1" ht="15"/>
    <row r="76" s="306" customFormat="1" ht="15"/>
    <row r="77" s="306" customFormat="1" ht="15"/>
    <row r="78" s="306" customFormat="1" ht="15"/>
    <row r="79" s="306" customFormat="1" ht="15"/>
    <row r="80" s="306" customFormat="1" ht="15"/>
    <row r="81" s="306" customFormat="1" ht="15"/>
    <row r="82" s="306" customFormat="1" ht="15"/>
    <row r="83" s="306" customFormat="1" ht="15"/>
    <row r="84" s="306" customFormat="1" ht="15"/>
    <row r="85" s="306" customFormat="1" ht="15"/>
    <row r="86" s="306" customFormat="1" ht="15"/>
    <row r="87" s="306" customFormat="1" ht="15"/>
    <row r="88" s="306" customFormat="1" ht="15"/>
    <row r="89" s="306" customFormat="1" ht="15"/>
    <row r="90" s="306" customFormat="1" ht="15"/>
    <row r="91" s="306" customFormat="1" ht="15"/>
    <row r="92" s="306" customFormat="1" ht="15"/>
    <row r="93" s="306" customFormat="1" ht="15"/>
    <row r="94" s="306" customFormat="1" ht="15"/>
    <row r="95" s="306" customFormat="1" ht="15"/>
    <row r="96" s="306" customFormat="1" ht="15"/>
    <row r="97" s="306" customFormat="1" ht="15"/>
    <row r="98" s="306" customFormat="1" ht="15"/>
    <row r="99" s="306" customFormat="1" ht="15"/>
    <row r="100" s="306" customFormat="1" ht="15"/>
    <row r="101" s="306" customFormat="1" ht="15"/>
    <row r="102" s="306" customFormat="1" ht="15"/>
    <row r="103" s="306" customFormat="1" ht="15"/>
    <row r="104" s="306" customFormat="1" ht="15"/>
    <row r="105" s="306" customFormat="1" ht="15"/>
    <row r="106" s="306" customFormat="1" ht="15"/>
    <row r="107" s="306" customFormat="1" ht="15"/>
    <row r="108" s="306" customFormat="1" ht="15"/>
    <row r="109" s="306" customFormat="1" ht="15"/>
    <row r="110" s="306" customFormat="1" ht="15"/>
    <row r="111" s="306" customFormat="1" ht="15"/>
    <row r="112" s="306" customFormat="1" ht="15"/>
    <row r="113" s="306" customFormat="1" ht="15"/>
    <row r="114" s="306" customFormat="1" ht="15"/>
    <row r="115" s="306" customFormat="1" ht="15"/>
    <row r="116" s="306" customFormat="1" ht="15"/>
    <row r="117" s="306" customFormat="1" ht="15"/>
    <row r="118" s="306" customFormat="1" ht="15"/>
    <row r="119" s="306" customFormat="1" ht="15"/>
    <row r="120" s="306" customFormat="1" ht="15"/>
    <row r="121" s="306" customFormat="1" ht="15"/>
    <row r="122" s="306" customFormat="1" ht="15"/>
    <row r="123" s="306" customFormat="1" ht="15"/>
    <row r="124" s="306" customFormat="1" ht="15"/>
    <row r="125" s="306" customFormat="1" ht="15"/>
    <row r="126" s="306" customFormat="1" ht="15"/>
    <row r="127" s="306" customFormat="1" ht="15"/>
    <row r="128" s="306" customFormat="1" ht="15"/>
    <row r="129" s="306" customFormat="1" ht="15"/>
    <row r="130" s="306" customFormat="1" ht="15"/>
    <row r="131" s="306" customFormat="1" ht="15"/>
    <row r="132" s="306" customFormat="1" ht="15"/>
    <row r="133" s="306" customFormat="1" ht="15"/>
    <row r="134" s="306" customFormat="1" ht="15"/>
    <row r="135" s="306" customFormat="1" ht="15"/>
    <row r="136" s="306" customFormat="1" ht="15"/>
    <row r="137" s="306" customFormat="1" ht="15"/>
    <row r="138" s="306" customFormat="1" ht="15"/>
    <row r="139" s="306" customFormat="1" ht="15"/>
    <row r="140" s="306" customFormat="1" ht="15"/>
    <row r="141" s="306" customFormat="1" ht="15"/>
    <row r="142" s="306" customFormat="1" ht="15"/>
    <row r="143" s="306" customFormat="1" ht="15"/>
    <row r="144" s="306" customFormat="1" ht="15"/>
    <row r="145" s="306" customFormat="1" ht="15"/>
    <row r="146" s="306" customFormat="1" ht="15"/>
    <row r="147" s="306" customFormat="1" ht="15"/>
    <row r="148" s="306" customFormat="1" ht="15"/>
    <row r="149" s="306" customFormat="1" ht="15"/>
    <row r="150" s="306" customFormat="1" ht="15"/>
    <row r="151" s="306" customFormat="1" ht="15"/>
    <row r="152" s="306" customFormat="1" ht="15"/>
    <row r="153" s="306" customFormat="1" ht="15"/>
    <row r="154" s="306" customFormat="1" ht="15"/>
    <row r="155" s="306" customFormat="1" ht="15"/>
    <row r="156" s="306" customFormat="1" ht="15"/>
    <row r="157" s="306" customFormat="1" ht="15"/>
    <row r="158" s="306" customFormat="1" ht="15"/>
    <row r="159" s="306" customFormat="1" ht="15"/>
    <row r="160" s="306" customFormat="1" ht="15"/>
    <row r="161" s="306" customFormat="1" ht="15"/>
    <row r="162" s="306" customFormat="1" ht="15"/>
    <row r="163" s="306" customFormat="1" ht="15"/>
    <row r="164" s="306" customFormat="1" ht="15"/>
    <row r="165" s="306" customFormat="1" ht="15"/>
    <row r="166" s="306" customFormat="1" ht="15"/>
    <row r="167" s="306" customFormat="1" ht="15"/>
    <row r="168" s="306" customFormat="1" ht="15"/>
    <row r="169" s="306" customFormat="1" ht="15"/>
    <row r="170" s="306" customFormat="1" ht="15"/>
    <row r="171" s="306" customFormat="1" ht="15"/>
    <row r="172" s="306" customFormat="1" ht="15"/>
    <row r="173" s="306" customFormat="1" ht="15"/>
    <row r="174" s="306" customFormat="1" ht="15"/>
    <row r="175" s="306" customFormat="1" ht="15"/>
    <row r="176" s="306" customFormat="1" ht="15"/>
    <row r="177" s="306" customFormat="1" ht="15"/>
    <row r="178" s="306" customFormat="1" ht="15"/>
    <row r="179" s="306" customFormat="1" ht="15"/>
    <row r="180" s="306" customFormat="1" ht="15"/>
    <row r="181" s="306" customFormat="1" ht="15"/>
    <row r="182" s="306" customFormat="1" ht="15"/>
    <row r="183" s="306" customFormat="1" ht="15"/>
    <row r="184" s="306" customFormat="1" ht="15"/>
    <row r="185" s="306" customFormat="1" ht="15"/>
    <row r="186" s="306" customFormat="1" ht="15"/>
    <row r="187" s="306" customFormat="1" ht="15"/>
    <row r="188" s="306" customFormat="1" ht="15"/>
    <row r="189" s="306" customFormat="1" ht="15"/>
    <row r="190" s="306" customFormat="1" ht="15"/>
    <row r="191" s="306" customFormat="1" ht="15"/>
    <row r="192" s="306" customFormat="1" ht="15"/>
    <row r="193" s="306" customFormat="1" ht="15"/>
    <row r="194" s="306" customFormat="1" ht="15"/>
    <row r="195" s="306" customFormat="1" ht="15"/>
    <row r="196" s="306" customFormat="1" ht="15"/>
    <row r="197" s="306" customFormat="1" ht="15"/>
    <row r="198" s="306" customFormat="1" ht="15"/>
    <row r="199" s="306" customFormat="1" ht="15"/>
    <row r="200" s="306" customFormat="1" ht="15"/>
    <row r="201" s="306" customFormat="1" ht="15"/>
    <row r="202" s="306" customFormat="1" ht="15"/>
    <row r="203" s="306" customFormat="1" ht="15"/>
    <row r="204" s="306" customFormat="1" ht="15"/>
    <row r="205" s="306" customFormat="1" ht="15"/>
    <row r="206" s="306" customFormat="1" ht="15"/>
    <row r="207" s="306" customFormat="1" ht="15"/>
    <row r="208" s="306" customFormat="1" ht="15"/>
    <row r="209" s="306" customFormat="1" ht="15"/>
    <row r="210" s="306" customFormat="1" ht="15"/>
    <row r="211" s="306" customFormat="1" ht="15"/>
    <row r="212" s="306" customFormat="1" ht="15"/>
    <row r="213" s="306" customFormat="1" ht="15"/>
    <row r="214" s="306" customFormat="1" ht="15"/>
    <row r="215" s="306" customFormat="1" ht="15"/>
    <row r="216" s="306" customFormat="1" ht="15"/>
    <row r="217" s="306" customFormat="1" ht="15"/>
    <row r="218" s="306" customFormat="1" ht="15"/>
    <row r="219" s="306" customFormat="1" ht="15"/>
    <row r="220" s="306" customFormat="1" ht="15"/>
    <row r="221" s="306" customFormat="1" ht="15"/>
    <row r="222" s="306" customFormat="1" ht="15"/>
    <row r="223" s="306" customFormat="1" ht="15"/>
    <row r="224" s="306" customFormat="1" ht="15"/>
    <row r="225" s="306" customFormat="1" ht="15"/>
    <row r="226" s="306" customFormat="1" ht="15"/>
    <row r="227" s="306" customFormat="1" ht="15"/>
    <row r="228" s="306" customFormat="1" ht="15"/>
    <row r="229" s="306" customFormat="1" ht="15"/>
    <row r="230" s="306" customFormat="1" ht="15"/>
    <row r="231" s="306" customFormat="1" ht="15"/>
    <row r="232" s="306" customFormat="1" ht="15"/>
    <row r="233" s="306" customFormat="1" ht="15"/>
    <row r="234" s="306" customFormat="1" ht="15"/>
    <row r="235" s="306" customFormat="1" ht="15"/>
    <row r="236" s="306" customFormat="1" ht="15"/>
    <row r="237" s="306" customFormat="1" ht="15"/>
    <row r="238" s="306" customFormat="1" ht="15"/>
    <row r="239" s="306" customFormat="1" ht="15"/>
    <row r="240" s="306" customFormat="1" ht="15"/>
    <row r="241" s="306" customFormat="1" ht="15"/>
    <row r="242" s="306" customFormat="1" ht="15"/>
    <row r="243" s="306" customFormat="1" ht="15"/>
    <row r="244" s="306" customFormat="1" ht="15"/>
    <row r="245" s="306" customFormat="1" ht="15"/>
    <row r="246" s="306" customFormat="1" ht="15"/>
    <row r="247" s="306" customFormat="1" ht="15"/>
    <row r="248" s="306" customFormat="1" ht="15"/>
    <row r="249" s="306" customFormat="1" ht="15"/>
    <row r="250" s="306" customFormat="1" ht="15"/>
    <row r="251" s="306" customFormat="1" ht="15"/>
    <row r="252" s="306" customFormat="1" ht="15"/>
    <row r="253" s="306" customFormat="1" ht="15"/>
    <row r="254" s="306" customFormat="1" ht="15"/>
    <row r="255" s="306" customFormat="1" ht="15"/>
    <row r="256" s="306" customFormat="1" ht="15"/>
    <row r="257" s="306" customFormat="1" ht="15"/>
    <row r="258" s="306" customFormat="1" ht="15"/>
    <row r="259" s="306" customFormat="1" ht="15"/>
    <row r="260" s="306" customFormat="1" ht="15"/>
    <row r="261" s="306" customFormat="1" ht="15"/>
    <row r="262" s="306" customFormat="1" ht="15"/>
    <row r="263" s="306" customFormat="1" ht="15"/>
    <row r="264" s="306" customFormat="1" ht="15"/>
    <row r="265" s="306" customFormat="1" ht="15"/>
    <row r="266" s="306" customFormat="1" ht="15"/>
    <row r="267" s="306" customFormat="1" ht="15"/>
    <row r="268" s="306" customFormat="1" ht="15"/>
    <row r="269" s="306" customFormat="1" ht="15"/>
    <row r="270" s="306" customFormat="1" ht="15"/>
    <row r="271" s="306" customFormat="1" ht="15"/>
    <row r="272" s="306" customFormat="1" ht="15"/>
    <row r="273" s="306" customFormat="1" ht="15"/>
    <row r="274" s="306" customFormat="1" ht="15"/>
    <row r="275" s="306" customFormat="1" ht="15"/>
    <row r="276" s="306" customFormat="1" ht="15"/>
    <row r="277" s="306" customFormat="1" ht="15"/>
    <row r="278" s="306" customFormat="1" ht="15"/>
    <row r="279" s="306" customFormat="1" ht="15"/>
    <row r="280" s="306" customFormat="1" ht="15"/>
    <row r="281" s="306" customFormat="1" ht="15"/>
    <row r="282" s="306" customFormat="1" ht="15"/>
    <row r="283" s="306" customFormat="1" ht="15"/>
    <row r="284" s="306" customFormat="1" ht="15"/>
    <row r="285" s="306" customFormat="1" ht="15"/>
    <row r="286" s="306" customFormat="1" ht="15"/>
    <row r="287" s="306" customFormat="1" ht="15"/>
    <row r="288" s="306" customFormat="1" ht="15"/>
    <row r="289" s="306" customFormat="1" ht="15"/>
    <row r="290" s="306" customFormat="1" ht="15"/>
    <row r="291" s="306" customFormat="1" ht="15"/>
    <row r="292" s="306" customFormat="1" ht="15"/>
    <row r="293" s="306" customFormat="1" ht="15"/>
    <row r="294" s="306" customFormat="1" ht="15"/>
    <row r="295" s="306" customFormat="1" ht="15"/>
    <row r="296" s="306" customFormat="1" ht="15"/>
    <row r="297" s="306" customFormat="1" ht="15"/>
    <row r="298" s="306" customFormat="1" ht="15"/>
    <row r="299" s="306" customFormat="1" ht="15"/>
    <row r="300" s="306" customFormat="1" ht="15"/>
    <row r="301" s="306" customFormat="1" ht="15"/>
    <row r="302" s="306" customFormat="1" ht="15"/>
    <row r="303" s="306" customFormat="1" ht="15"/>
    <row r="304" s="306" customFormat="1" ht="15"/>
    <row r="305" s="306" customFormat="1" ht="15"/>
    <row r="306" s="306" customFormat="1" ht="15"/>
    <row r="307" s="306" customFormat="1" ht="15"/>
    <row r="308" s="306" customFormat="1" ht="15"/>
    <row r="309" s="306" customFormat="1" ht="15"/>
    <row r="310" s="306" customFormat="1" ht="15"/>
    <row r="311" s="306" customFormat="1" ht="15"/>
    <row r="312" s="306" customFormat="1" ht="15"/>
    <row r="313" s="306" customFormat="1" ht="15"/>
    <row r="314" s="306" customFormat="1" ht="15"/>
    <row r="315" s="306" customFormat="1" ht="15"/>
    <row r="316" s="306" customFormat="1" ht="15"/>
    <row r="317" s="306" customFormat="1" ht="15"/>
    <row r="318" s="306" customFormat="1" ht="15"/>
    <row r="319" s="306" customFormat="1" ht="15"/>
    <row r="320" s="306" customFormat="1" ht="15"/>
    <row r="321" s="306" customFormat="1" ht="15"/>
    <row r="322" s="306" customFormat="1" ht="15"/>
    <row r="323" s="306" customFormat="1" ht="15"/>
    <row r="324" s="306" customFormat="1" ht="15"/>
    <row r="325" s="306" customFormat="1" ht="15"/>
    <row r="326" s="306" customFormat="1" ht="15"/>
    <row r="327" s="306" customFormat="1" ht="15"/>
    <row r="328" s="306" customFormat="1" ht="15"/>
    <row r="329" s="306" customFormat="1" ht="15"/>
    <row r="330" s="306" customFormat="1" ht="15"/>
    <row r="331" s="306" customFormat="1" ht="15"/>
    <row r="332" s="306" customFormat="1" ht="15"/>
    <row r="333" s="306" customFormat="1" ht="15"/>
    <row r="334" s="306" customFormat="1" ht="15"/>
    <row r="335" s="306" customFormat="1" ht="15"/>
    <row r="336" s="306" customFormat="1" ht="15"/>
    <row r="337" s="306" customFormat="1" ht="15"/>
    <row r="338" s="306" customFormat="1" ht="15"/>
    <row r="339" s="306" customFormat="1" ht="15"/>
    <row r="340" s="306" customFormat="1" ht="15"/>
    <row r="341" s="306" customFormat="1" ht="15"/>
    <row r="342" s="306" customFormat="1" ht="15"/>
    <row r="343" s="306" customFormat="1" ht="15"/>
    <row r="344" s="306" customFormat="1" ht="15"/>
    <row r="345" s="306" customFormat="1" ht="15"/>
    <row r="346" s="306" customFormat="1" ht="15"/>
    <row r="347" s="306" customFormat="1" ht="15"/>
    <row r="348" s="306" customFormat="1" ht="15"/>
    <row r="349" s="306" customFormat="1" ht="15"/>
    <row r="350" s="306" customFormat="1" ht="15"/>
    <row r="351" s="306" customFormat="1" ht="15"/>
    <row r="352" s="306" customFormat="1" ht="15"/>
    <row r="353" s="306" customFormat="1" ht="15"/>
    <row r="354" s="306" customFormat="1" ht="15"/>
    <row r="355" s="306" customFormat="1" ht="15"/>
    <row r="356" s="306" customFormat="1" ht="15"/>
    <row r="357" s="306" customFormat="1" ht="15"/>
    <row r="358" s="306" customFormat="1" ht="15"/>
    <row r="359" s="306" customFormat="1" ht="15"/>
    <row r="360" s="306" customFormat="1" ht="15"/>
    <row r="361" s="306" customFormat="1" ht="15"/>
    <row r="362" s="306" customFormat="1" ht="15"/>
    <row r="363" s="306" customFormat="1" ht="15"/>
    <row r="364" s="306" customFormat="1" ht="15"/>
    <row r="365" s="306" customFormat="1" ht="15"/>
    <row r="366" s="306" customFormat="1" ht="15"/>
    <row r="367" s="306" customFormat="1" ht="15"/>
    <row r="368" s="306" customFormat="1" ht="15"/>
    <row r="369" s="306" customFormat="1" ht="15"/>
    <row r="370" s="306" customFormat="1" ht="15"/>
    <row r="371" s="306" customFormat="1" ht="15"/>
    <row r="372" s="306" customFormat="1" ht="15"/>
    <row r="373" s="306" customFormat="1" ht="15"/>
    <row r="374" s="306" customFormat="1" ht="15"/>
    <row r="375" s="306" customFormat="1" ht="15"/>
    <row r="376" s="306" customFormat="1" ht="15"/>
    <row r="377" s="306" customFormat="1" ht="15"/>
    <row r="378" s="306" customFormat="1" ht="15"/>
    <row r="379" s="306" customFormat="1" ht="15"/>
    <row r="380" s="306" customFormat="1" ht="15"/>
    <row r="381" s="306" customFormat="1" ht="15"/>
    <row r="382" s="306" customFormat="1" ht="15"/>
    <row r="383" s="306" customFormat="1" ht="15"/>
    <row r="384" s="306" customFormat="1" ht="15"/>
    <row r="385" s="306" customFormat="1" ht="15"/>
    <row r="386" s="306" customFormat="1" ht="15"/>
    <row r="387" s="306" customFormat="1" ht="15"/>
    <row r="388" s="306" customFormat="1" ht="15"/>
    <row r="389" s="306" customFormat="1" ht="15"/>
    <row r="390" s="306" customFormat="1" ht="15"/>
    <row r="391" s="306" customFormat="1" ht="15"/>
    <row r="392" s="306" customFormat="1" ht="15"/>
    <row r="393" s="306" customFormat="1" ht="15"/>
  </sheetData>
  <sheetProtection password="E69A" sheet="1" objects="1" scenarios="1" selectLockedCells="1" selectUnlockedCells="1"/>
  <mergeCells count="69">
    <mergeCell ref="C54:Y54"/>
    <mergeCell ref="C57:Y57"/>
    <mergeCell ref="I45:M45"/>
    <mergeCell ref="U21:Y21"/>
    <mergeCell ref="U23:Y23"/>
    <mergeCell ref="I25:M25"/>
    <mergeCell ref="U25:Y25"/>
    <mergeCell ref="I46:M46"/>
    <mergeCell ref="U46:Y46"/>
    <mergeCell ref="U45:Y45"/>
    <mergeCell ref="B58:B62"/>
    <mergeCell ref="I47:M47"/>
    <mergeCell ref="U47:Y47"/>
    <mergeCell ref="I48:M48"/>
    <mergeCell ref="I49:M49"/>
    <mergeCell ref="I50:M50"/>
    <mergeCell ref="T53:X53"/>
    <mergeCell ref="C52:M53"/>
    <mergeCell ref="B19:B57"/>
    <mergeCell ref="I43:M43"/>
    <mergeCell ref="U43:Y43"/>
    <mergeCell ref="I44:M44"/>
    <mergeCell ref="U44:Y44"/>
    <mergeCell ref="C4:Y4"/>
    <mergeCell ref="S6:Y6"/>
    <mergeCell ref="C7:F7"/>
    <mergeCell ref="U31:Y31"/>
    <mergeCell ref="S14:Y15"/>
    <mergeCell ref="I41:M41"/>
    <mergeCell ref="C12:F12"/>
    <mergeCell ref="N14:R14"/>
    <mergeCell ref="U37:Y37"/>
    <mergeCell ref="U12:Y12"/>
    <mergeCell ref="U9:Y9"/>
    <mergeCell ref="C9:F9"/>
    <mergeCell ref="S9:T9"/>
    <mergeCell ref="G9:J9"/>
    <mergeCell ref="S12:T12"/>
    <mergeCell ref="G12:K12"/>
    <mergeCell ref="I40:M40"/>
    <mergeCell ref="U40:Y40"/>
    <mergeCell ref="I27:M28"/>
    <mergeCell ref="I31:M31"/>
    <mergeCell ref="O16:R16"/>
    <mergeCell ref="U38:Y38"/>
    <mergeCell ref="K18:M18"/>
    <mergeCell ref="G16:J16"/>
    <mergeCell ref="U35:Y35"/>
    <mergeCell ref="U36:Y36"/>
    <mergeCell ref="U41:Y41"/>
    <mergeCell ref="U32:Y32"/>
    <mergeCell ref="U33:Y33"/>
    <mergeCell ref="U34:Y34"/>
    <mergeCell ref="U20:Y20"/>
    <mergeCell ref="I42:M42"/>
    <mergeCell ref="U42:Y42"/>
    <mergeCell ref="U27:Y27"/>
    <mergeCell ref="I29:M29"/>
    <mergeCell ref="U29:Y29"/>
    <mergeCell ref="C5:Y5"/>
    <mergeCell ref="C20:E20"/>
    <mergeCell ref="V3:Y3"/>
    <mergeCell ref="C3:U3"/>
    <mergeCell ref="B2:Y2"/>
    <mergeCell ref="I39:M39"/>
    <mergeCell ref="U39:Y39"/>
    <mergeCell ref="S16:Y17"/>
    <mergeCell ref="N20:S20"/>
    <mergeCell ref="G14:M14"/>
  </mergeCells>
  <printOptions/>
  <pageMargins left="0.38" right="0.29" top="0.33" bottom="0.13" header="0.4" footer="0.11"/>
  <pageSetup horizontalDpi="300" verticalDpi="300" orientation="portrait" paperSize="9" scale="95" r:id="rId2"/>
  <drawing r:id="rId1"/>
</worksheet>
</file>

<file path=xl/worksheets/sheet5.xml><?xml version="1.0" encoding="utf-8"?>
<worksheet xmlns="http://schemas.openxmlformats.org/spreadsheetml/2006/main" xmlns:r="http://schemas.openxmlformats.org/officeDocument/2006/relationships">
  <sheetPr>
    <tabColor rgb="FF002060"/>
  </sheetPr>
  <dimension ref="A2:CC52"/>
  <sheetViews>
    <sheetView showGridLines="0" showRowColHeaders="0" zoomScalePageLayoutView="0" workbookViewId="0" topLeftCell="A1">
      <selection activeCell="R15" sqref="R15"/>
    </sheetView>
  </sheetViews>
  <sheetFormatPr defaultColWidth="9.140625" defaultRowHeight="15"/>
  <cols>
    <col min="1" max="1" width="5.140625" style="339" customWidth="1"/>
    <col min="2" max="2" width="4.00390625" style="0" customWidth="1"/>
    <col min="3" max="3" width="5.140625" style="0" customWidth="1"/>
    <col min="4" max="4" width="2.00390625" style="0" customWidth="1"/>
    <col min="5" max="5" width="9.7109375" style="0" customWidth="1"/>
    <col min="6" max="6" width="3.421875" style="0" customWidth="1"/>
    <col min="7" max="7" width="7.140625" style="0" customWidth="1"/>
    <col min="8" max="8" width="5.57421875" style="0" customWidth="1"/>
    <col min="9" max="9" width="12.140625" style="0" customWidth="1"/>
    <col min="10" max="10" width="5.57421875" style="0" customWidth="1"/>
    <col min="11" max="11" width="7.140625" style="0" customWidth="1"/>
    <col min="12" max="12" width="5.28125" style="0" customWidth="1"/>
    <col min="13" max="13" width="6.00390625" style="0" customWidth="1"/>
    <col min="14" max="14" width="22.7109375" style="0" customWidth="1"/>
    <col min="15" max="81" width="9.140625" style="339" customWidth="1"/>
  </cols>
  <sheetData>
    <row r="1" s="339" customFormat="1" ht="20.25" customHeight="1" thickBot="1"/>
    <row r="2" spans="2:14" ht="32.25" customHeight="1" thickTop="1">
      <c r="B2" s="712" t="s">
        <v>207</v>
      </c>
      <c r="C2" s="713"/>
      <c r="D2" s="713"/>
      <c r="E2" s="713"/>
      <c r="F2" s="713"/>
      <c r="G2" s="713"/>
      <c r="H2" s="713"/>
      <c r="I2" s="713"/>
      <c r="J2" s="713"/>
      <c r="K2" s="713"/>
      <c r="L2" s="713"/>
      <c r="M2" s="713"/>
      <c r="N2" s="714"/>
    </row>
    <row r="3" spans="2:14" ht="15">
      <c r="B3" s="342"/>
      <c r="C3" s="343"/>
      <c r="D3" s="343"/>
      <c r="E3" s="343"/>
      <c r="F3" s="343"/>
      <c r="G3" s="343"/>
      <c r="H3" s="343"/>
      <c r="I3" s="343"/>
      <c r="J3" s="343"/>
      <c r="K3" s="343"/>
      <c r="L3" s="343"/>
      <c r="M3" s="343"/>
      <c r="N3" s="344"/>
    </row>
    <row r="4" spans="2:14" ht="15.75">
      <c r="B4" s="233" t="s">
        <v>208</v>
      </c>
      <c r="C4" s="234" t="s">
        <v>505</v>
      </c>
      <c r="D4" s="234"/>
      <c r="E4" s="234"/>
      <c r="F4" s="234"/>
      <c r="G4" s="234"/>
      <c r="H4" s="234"/>
      <c r="I4" s="234"/>
      <c r="J4" s="234" t="s">
        <v>99</v>
      </c>
      <c r="K4" s="234"/>
      <c r="L4" s="234"/>
      <c r="M4" s="234"/>
      <c r="N4" s="235"/>
    </row>
    <row r="5" spans="2:14" ht="15.75">
      <c r="B5" s="233" t="s">
        <v>209</v>
      </c>
      <c r="C5" s="234" t="s">
        <v>210</v>
      </c>
      <c r="D5" s="234"/>
      <c r="E5" s="234"/>
      <c r="F5" s="234"/>
      <c r="G5" s="234"/>
      <c r="H5" s="234"/>
      <c r="I5" s="234"/>
      <c r="J5" s="234" t="s">
        <v>99</v>
      </c>
      <c r="K5" s="234"/>
      <c r="L5" s="234"/>
      <c r="M5" s="234"/>
      <c r="N5" s="235"/>
    </row>
    <row r="6" spans="2:14" ht="15.75">
      <c r="B6" s="233" t="s">
        <v>211</v>
      </c>
      <c r="C6" s="234" t="s">
        <v>212</v>
      </c>
      <c r="D6" s="234"/>
      <c r="E6" s="234"/>
      <c r="F6" s="234"/>
      <c r="G6" s="234"/>
      <c r="H6" s="234"/>
      <c r="I6" s="234"/>
      <c r="J6" s="234" t="s">
        <v>99</v>
      </c>
      <c r="K6" s="234"/>
      <c r="L6" s="234"/>
      <c r="M6" s="234"/>
      <c r="N6" s="235"/>
    </row>
    <row r="7" spans="2:14" ht="15.75">
      <c r="B7" s="236"/>
      <c r="C7" s="234"/>
      <c r="D7" s="234"/>
      <c r="E7" s="234"/>
      <c r="F7" s="234"/>
      <c r="G7" s="234"/>
      <c r="H7" s="234"/>
      <c r="I7" s="234"/>
      <c r="J7" s="234"/>
      <c r="K7" s="234"/>
      <c r="L7" s="234"/>
      <c r="M7" s="234"/>
      <c r="N7" s="235"/>
    </row>
    <row r="8" spans="2:14" ht="15.75">
      <c r="B8" s="236"/>
      <c r="C8" s="234"/>
      <c r="D8" s="234"/>
      <c r="E8" s="234"/>
      <c r="F8" s="234"/>
      <c r="G8" s="234"/>
      <c r="H8" s="234"/>
      <c r="I8" s="234"/>
      <c r="J8" s="234"/>
      <c r="K8" s="234"/>
      <c r="L8" s="234"/>
      <c r="M8" s="234"/>
      <c r="N8" s="235"/>
    </row>
    <row r="9" spans="2:14" ht="15.75">
      <c r="B9" s="236"/>
      <c r="C9" s="234"/>
      <c r="D9" s="234"/>
      <c r="E9" s="234"/>
      <c r="F9" s="234"/>
      <c r="G9" s="234"/>
      <c r="H9" s="234"/>
      <c r="I9" s="234"/>
      <c r="J9" s="234"/>
      <c r="K9" s="234"/>
      <c r="L9" s="234"/>
      <c r="M9" s="234"/>
      <c r="N9" s="235"/>
    </row>
    <row r="10" spans="2:14" ht="16.5" thickBot="1">
      <c r="B10" s="236"/>
      <c r="C10" s="234"/>
      <c r="D10" s="234"/>
      <c r="E10" s="234"/>
      <c r="F10" s="234"/>
      <c r="G10" s="234"/>
      <c r="H10" s="234"/>
      <c r="I10" s="237"/>
      <c r="J10" s="234"/>
      <c r="K10" s="706" t="s">
        <v>141</v>
      </c>
      <c r="L10" s="706"/>
      <c r="M10" s="706"/>
      <c r="N10" s="710"/>
    </row>
    <row r="11" spans="2:14" ht="15.75">
      <c r="B11" s="238"/>
      <c r="C11" s="239"/>
      <c r="D11" s="239"/>
      <c r="E11" s="239"/>
      <c r="F11" s="239"/>
      <c r="G11" s="239"/>
      <c r="H11" s="239"/>
      <c r="I11" s="240"/>
      <c r="J11" s="239"/>
      <c r="K11" s="239"/>
      <c r="L11" s="239"/>
      <c r="M11" s="239"/>
      <c r="N11" s="241"/>
    </row>
    <row r="12" spans="2:14" ht="15.75">
      <c r="B12" s="236"/>
      <c r="C12" s="706" t="s">
        <v>213</v>
      </c>
      <c r="D12" s="706"/>
      <c r="E12" s="706"/>
      <c r="F12" s="706"/>
      <c r="G12" s="225"/>
      <c r="H12" s="225" t="str">
        <f>'[3]47-FRONT'!G57</f>
        <v>Rs.</v>
      </c>
      <c r="I12" s="707">
        <f>'APTC-47'!I50</f>
        <v>954</v>
      </c>
      <c r="J12" s="707"/>
      <c r="K12" s="707"/>
      <c r="L12" s="234"/>
      <c r="M12" s="234"/>
      <c r="N12" s="235"/>
    </row>
    <row r="13" spans="2:14" ht="15.75">
      <c r="B13" s="236"/>
      <c r="C13" s="715" t="str">
        <f>CONCATENATE("Rs",".",DATA!AL142," only")</f>
        <v>Rs.    Nine Hundred and Fifty Four rupees only  only</v>
      </c>
      <c r="D13" s="715"/>
      <c r="E13" s="715"/>
      <c r="F13" s="715"/>
      <c r="G13" s="715"/>
      <c r="H13" s="715"/>
      <c r="I13" s="715"/>
      <c r="J13" s="715"/>
      <c r="K13" s="715"/>
      <c r="L13" s="715"/>
      <c r="M13" s="715"/>
      <c r="N13" s="716"/>
    </row>
    <row r="14" spans="2:14" ht="15.75">
      <c r="B14" s="236"/>
      <c r="C14" s="234" t="s">
        <v>214</v>
      </c>
      <c r="D14" s="242"/>
      <c r="E14" s="242"/>
      <c r="F14" s="242"/>
      <c r="G14" s="242"/>
      <c r="H14" s="242"/>
      <c r="I14" s="242"/>
      <c r="J14" s="242"/>
      <c r="K14" s="234"/>
      <c r="L14" s="234"/>
      <c r="M14" s="234"/>
      <c r="N14" s="235"/>
    </row>
    <row r="15" spans="2:14" ht="15.75">
      <c r="B15" s="236"/>
      <c r="C15" s="234" t="s">
        <v>215</v>
      </c>
      <c r="D15" s="234"/>
      <c r="E15" s="234"/>
      <c r="F15" s="234"/>
      <c r="G15" s="234"/>
      <c r="H15" s="234"/>
      <c r="I15" s="234"/>
      <c r="J15" s="234"/>
      <c r="K15" s="234"/>
      <c r="L15" s="234"/>
      <c r="M15" s="234"/>
      <c r="N15" s="235"/>
    </row>
    <row r="16" spans="2:14" ht="15.75">
      <c r="B16" s="236"/>
      <c r="C16" s="234"/>
      <c r="D16" s="234"/>
      <c r="E16" s="234"/>
      <c r="F16" s="234"/>
      <c r="G16" s="234"/>
      <c r="H16" s="234"/>
      <c r="I16" s="234"/>
      <c r="J16" s="234"/>
      <c r="K16" s="234"/>
      <c r="L16" s="234"/>
      <c r="M16" s="234"/>
      <c r="N16" s="235"/>
    </row>
    <row r="17" spans="2:14" ht="15.75">
      <c r="B17" s="236"/>
      <c r="C17" s="234"/>
      <c r="D17" s="234"/>
      <c r="E17" s="234"/>
      <c r="F17" s="234"/>
      <c r="G17" s="234"/>
      <c r="H17" s="234"/>
      <c r="I17" s="234"/>
      <c r="J17" s="234"/>
      <c r="K17" s="234"/>
      <c r="L17" s="234"/>
      <c r="M17" s="234"/>
      <c r="N17" s="235"/>
    </row>
    <row r="18" spans="2:14" ht="15.75">
      <c r="B18" s="236"/>
      <c r="C18" s="234"/>
      <c r="D18" s="234"/>
      <c r="E18" s="234"/>
      <c r="F18" s="234"/>
      <c r="G18" s="234"/>
      <c r="H18" s="234"/>
      <c r="I18" s="234"/>
      <c r="J18" s="234"/>
      <c r="K18" s="234"/>
      <c r="L18" s="234"/>
      <c r="M18" s="234"/>
      <c r="N18" s="235"/>
    </row>
    <row r="19" spans="2:14" ht="16.5" thickBot="1">
      <c r="B19" s="243"/>
      <c r="C19" s="244" t="s">
        <v>141</v>
      </c>
      <c r="D19" s="244"/>
      <c r="E19" s="244"/>
      <c r="F19" s="244"/>
      <c r="G19" s="244"/>
      <c r="H19" s="244"/>
      <c r="I19" s="244"/>
      <c r="J19" s="244"/>
      <c r="K19" s="717" t="s">
        <v>141</v>
      </c>
      <c r="L19" s="717"/>
      <c r="M19" s="717"/>
      <c r="N19" s="718"/>
    </row>
    <row r="20" spans="2:14" ht="15.75">
      <c r="B20" s="719" t="s">
        <v>216</v>
      </c>
      <c r="C20" s="720"/>
      <c r="D20" s="720"/>
      <c r="E20" s="720"/>
      <c r="F20" s="720"/>
      <c r="G20" s="720"/>
      <c r="H20" s="720"/>
      <c r="I20" s="720"/>
      <c r="J20" s="720"/>
      <c r="K20" s="720"/>
      <c r="L20" s="720"/>
      <c r="M20" s="720"/>
      <c r="N20" s="721"/>
    </row>
    <row r="21" spans="2:14" ht="8.25" customHeight="1">
      <c r="B21" s="236"/>
      <c r="C21" s="234"/>
      <c r="D21" s="234"/>
      <c r="E21" s="234"/>
      <c r="F21" s="234"/>
      <c r="G21" s="234"/>
      <c r="H21" s="234"/>
      <c r="I21" s="234"/>
      <c r="J21" s="234"/>
      <c r="K21" s="234"/>
      <c r="L21" s="234"/>
      <c r="M21" s="234"/>
      <c r="N21" s="235"/>
    </row>
    <row r="22" spans="2:14" ht="15.75">
      <c r="B22" s="245">
        <v>1</v>
      </c>
      <c r="C22" s="708" t="s">
        <v>217</v>
      </c>
      <c r="D22" s="708"/>
      <c r="E22" s="708"/>
      <c r="F22" s="708"/>
      <c r="G22" s="708"/>
      <c r="H22" s="708"/>
      <c r="I22" s="708"/>
      <c r="J22" s="708"/>
      <c r="K22" s="708"/>
      <c r="L22" s="708"/>
      <c r="M22" s="708"/>
      <c r="N22" s="709"/>
    </row>
    <row r="23" spans="2:14" ht="15.75">
      <c r="B23" s="245">
        <v>2</v>
      </c>
      <c r="C23" s="708" t="s">
        <v>218</v>
      </c>
      <c r="D23" s="708"/>
      <c r="E23" s="708"/>
      <c r="F23" s="708"/>
      <c r="G23" s="708"/>
      <c r="H23" s="708"/>
      <c r="I23" s="708"/>
      <c r="J23" s="708"/>
      <c r="K23" s="708"/>
      <c r="L23" s="708"/>
      <c r="M23" s="708"/>
      <c r="N23" s="709"/>
    </row>
    <row r="24" spans="2:14" ht="15.75">
      <c r="B24" s="245">
        <v>3</v>
      </c>
      <c r="C24" s="708" t="s">
        <v>219</v>
      </c>
      <c r="D24" s="708"/>
      <c r="E24" s="708"/>
      <c r="F24" s="708"/>
      <c r="G24" s="708"/>
      <c r="H24" s="708"/>
      <c r="I24" s="708"/>
      <c r="J24" s="708"/>
      <c r="K24" s="708"/>
      <c r="L24" s="708"/>
      <c r="M24" s="708"/>
      <c r="N24" s="709"/>
    </row>
    <row r="25" spans="2:14" ht="15.75">
      <c r="B25" s="245">
        <v>4</v>
      </c>
      <c r="C25" s="708" t="s">
        <v>220</v>
      </c>
      <c r="D25" s="708"/>
      <c r="E25" s="708"/>
      <c r="F25" s="708"/>
      <c r="G25" s="708"/>
      <c r="H25" s="708"/>
      <c r="I25" s="708"/>
      <c r="J25" s="708"/>
      <c r="K25" s="708"/>
      <c r="L25" s="708"/>
      <c r="M25" s="708"/>
      <c r="N25" s="709"/>
    </row>
    <row r="26" spans="2:14" ht="15.75">
      <c r="B26" s="245">
        <v>5</v>
      </c>
      <c r="C26" s="708" t="s">
        <v>221</v>
      </c>
      <c r="D26" s="708"/>
      <c r="E26" s="708"/>
      <c r="F26" s="708"/>
      <c r="G26" s="708"/>
      <c r="H26" s="708"/>
      <c r="I26" s="708"/>
      <c r="J26" s="708"/>
      <c r="K26" s="708"/>
      <c r="L26" s="708"/>
      <c r="M26" s="708"/>
      <c r="N26" s="709"/>
    </row>
    <row r="27" spans="2:14" ht="15.75">
      <c r="B27" s="245">
        <v>6</v>
      </c>
      <c r="C27" s="708" t="s">
        <v>516</v>
      </c>
      <c r="D27" s="708"/>
      <c r="E27" s="708"/>
      <c r="F27" s="708"/>
      <c r="G27" s="708"/>
      <c r="H27" s="708"/>
      <c r="I27" s="708"/>
      <c r="J27" s="708"/>
      <c r="K27" s="708"/>
      <c r="L27" s="708"/>
      <c r="M27" s="708"/>
      <c r="N27" s="709"/>
    </row>
    <row r="28" spans="2:14" ht="15.75">
      <c r="B28" s="245">
        <v>7</v>
      </c>
      <c r="C28" s="179" t="s">
        <v>222</v>
      </c>
      <c r="D28" s="242"/>
      <c r="E28" s="242"/>
      <c r="F28" s="242"/>
      <c r="G28" s="242"/>
      <c r="H28" s="242"/>
      <c r="I28" s="242"/>
      <c r="J28" s="242"/>
      <c r="K28" s="242"/>
      <c r="L28" s="242"/>
      <c r="M28" s="242"/>
      <c r="N28" s="246"/>
    </row>
    <row r="29" spans="2:14" ht="15.75">
      <c r="B29" s="245">
        <v>8</v>
      </c>
      <c r="C29" s="708" t="str">
        <f>CONCATENATE("Certified that the Special pays are claimed in terms of G.O.M.S No.118 Finance  Dept.,")</f>
        <v>Certified that the Special pays are claimed in terms of G.O.M.S No.118 Finance  Dept.,</v>
      </c>
      <c r="D29" s="708"/>
      <c r="E29" s="708"/>
      <c r="F29" s="708"/>
      <c r="G29" s="708"/>
      <c r="H29" s="708"/>
      <c r="I29" s="708"/>
      <c r="J29" s="708"/>
      <c r="K29" s="708"/>
      <c r="L29" s="708"/>
      <c r="M29" s="708"/>
      <c r="N29" s="709"/>
    </row>
    <row r="30" spans="2:14" ht="15.75">
      <c r="B30" s="245"/>
      <c r="C30" s="708" t="s">
        <v>223</v>
      </c>
      <c r="D30" s="708"/>
      <c r="E30" s="708"/>
      <c r="F30" s="708"/>
      <c r="G30" s="247"/>
      <c r="H30" s="247"/>
      <c r="I30" s="247"/>
      <c r="J30" s="247"/>
      <c r="K30" s="247"/>
      <c r="L30" s="247"/>
      <c r="M30" s="247"/>
      <c r="N30" s="248"/>
    </row>
    <row r="31" spans="2:14" ht="15.75">
      <c r="B31" s="245">
        <v>9</v>
      </c>
      <c r="C31" s="708" t="s">
        <v>224</v>
      </c>
      <c r="D31" s="708"/>
      <c r="E31" s="708"/>
      <c r="F31" s="708"/>
      <c r="G31" s="708"/>
      <c r="H31" s="708"/>
      <c r="I31" s="708"/>
      <c r="J31" s="708"/>
      <c r="K31" s="708"/>
      <c r="L31" s="708"/>
      <c r="M31" s="708"/>
      <c r="N31" s="709"/>
    </row>
    <row r="32" spans="2:14" ht="15.75">
      <c r="B32" s="245"/>
      <c r="C32" s="711" t="s">
        <v>225</v>
      </c>
      <c r="D32" s="711"/>
      <c r="E32" s="711"/>
      <c r="F32" s="711"/>
      <c r="G32" s="711"/>
      <c r="H32" s="711"/>
      <c r="I32" s="711"/>
      <c r="J32" s="247"/>
      <c r="K32" s="247"/>
      <c r="L32" s="247"/>
      <c r="M32" s="247"/>
      <c r="N32" s="248"/>
    </row>
    <row r="33" spans="2:14" ht="15.75">
      <c r="B33" s="249">
        <v>10</v>
      </c>
      <c r="C33" s="708" t="str">
        <f>CONCATENATE("Certified that the Convyance Alwance are claimed in terms of G.O.M.S No.108 Finance  Dept.,")</f>
        <v>Certified that the Convyance Alwance are claimed in terms of G.O.M.S No.108 Finance  Dept.,</v>
      </c>
      <c r="D33" s="708"/>
      <c r="E33" s="708"/>
      <c r="F33" s="708"/>
      <c r="G33" s="708"/>
      <c r="H33" s="708"/>
      <c r="I33" s="708"/>
      <c r="J33" s="708"/>
      <c r="K33" s="708"/>
      <c r="L33" s="708"/>
      <c r="M33" s="708"/>
      <c r="N33" s="709"/>
    </row>
    <row r="34" spans="2:14" ht="15.75">
      <c r="B34" s="236"/>
      <c r="C34" s="234" t="s">
        <v>226</v>
      </c>
      <c r="D34" s="234"/>
      <c r="E34" s="234"/>
      <c r="F34" s="234"/>
      <c r="G34" s="234"/>
      <c r="H34" s="234"/>
      <c r="I34" s="234"/>
      <c r="J34" s="234"/>
      <c r="K34" s="234"/>
      <c r="L34" s="234"/>
      <c r="M34" s="234"/>
      <c r="N34" s="235"/>
    </row>
    <row r="35" spans="2:14" ht="15.75">
      <c r="B35" s="236"/>
      <c r="C35" s="234"/>
      <c r="D35" s="234"/>
      <c r="E35" s="234"/>
      <c r="F35" s="234"/>
      <c r="G35" s="234"/>
      <c r="H35" s="234"/>
      <c r="I35" s="234"/>
      <c r="J35" s="234"/>
      <c r="K35" s="234"/>
      <c r="L35" s="234"/>
      <c r="M35" s="234"/>
      <c r="N35" s="235"/>
    </row>
    <row r="36" spans="2:14" ht="15.75">
      <c r="B36" s="236"/>
      <c r="C36" s="234"/>
      <c r="D36" s="234"/>
      <c r="E36" s="234"/>
      <c r="F36" s="234"/>
      <c r="G36" s="234"/>
      <c r="H36" s="234"/>
      <c r="I36" s="234"/>
      <c r="J36" s="234"/>
      <c r="K36" s="234"/>
      <c r="L36" s="234"/>
      <c r="M36" s="234"/>
      <c r="N36" s="235"/>
    </row>
    <row r="37" spans="2:14" ht="15.75">
      <c r="B37" s="236"/>
      <c r="C37" s="234"/>
      <c r="D37" s="234"/>
      <c r="E37" s="234"/>
      <c r="F37" s="234"/>
      <c r="G37" s="234"/>
      <c r="H37" s="234"/>
      <c r="I37" s="706" t="s">
        <v>227</v>
      </c>
      <c r="J37" s="706"/>
      <c r="K37" s="706"/>
      <c r="L37" s="706"/>
      <c r="M37" s="706"/>
      <c r="N37" s="710"/>
    </row>
    <row r="38" spans="2:14" ht="7.5" customHeight="1">
      <c r="B38" s="236"/>
      <c r="C38" s="234"/>
      <c r="D38" s="234"/>
      <c r="E38" s="234"/>
      <c r="F38" s="234"/>
      <c r="G38" s="234"/>
      <c r="H38" s="234"/>
      <c r="I38" s="234"/>
      <c r="J38" s="234"/>
      <c r="K38" s="234"/>
      <c r="L38" s="234"/>
      <c r="M38" s="234"/>
      <c r="N38" s="235"/>
    </row>
    <row r="39" spans="2:14" ht="16.5" thickBot="1">
      <c r="B39" s="703" t="s">
        <v>228</v>
      </c>
      <c r="C39" s="704"/>
      <c r="D39" s="704"/>
      <c r="E39" s="704"/>
      <c r="F39" s="704"/>
      <c r="G39" s="704"/>
      <c r="H39" s="704"/>
      <c r="I39" s="704"/>
      <c r="J39" s="704"/>
      <c r="K39" s="704"/>
      <c r="L39" s="704"/>
      <c r="M39" s="704"/>
      <c r="N39" s="705"/>
    </row>
    <row r="40" spans="2:14" ht="15.75">
      <c r="B40" s="236"/>
      <c r="C40" s="234"/>
      <c r="D40" s="234"/>
      <c r="E40" s="234"/>
      <c r="F40" s="234"/>
      <c r="G40" s="234"/>
      <c r="H40" s="234"/>
      <c r="I40" s="234"/>
      <c r="J40" s="234"/>
      <c r="K40" s="234"/>
      <c r="L40" s="234"/>
      <c r="M40" s="234"/>
      <c r="N40" s="235"/>
    </row>
    <row r="41" spans="2:14" ht="15.75">
      <c r="B41" s="236"/>
      <c r="C41" s="234"/>
      <c r="D41" s="234"/>
      <c r="E41" s="234"/>
      <c r="F41" s="234"/>
      <c r="G41" s="234"/>
      <c r="H41" s="234"/>
      <c r="I41" s="234"/>
      <c r="J41" s="234"/>
      <c r="K41" s="234"/>
      <c r="L41" s="234"/>
      <c r="M41" s="234"/>
      <c r="N41" s="235"/>
    </row>
    <row r="42" spans="2:14" ht="15.75">
      <c r="B42" s="236"/>
      <c r="C42" s="234"/>
      <c r="D42" s="234"/>
      <c r="E42" s="234"/>
      <c r="F42" s="234"/>
      <c r="G42" s="234"/>
      <c r="H42" s="234"/>
      <c r="I42" s="234"/>
      <c r="J42" s="234"/>
      <c r="K42" s="234"/>
      <c r="L42" s="234"/>
      <c r="M42" s="234"/>
      <c r="N42" s="235"/>
    </row>
    <row r="43" spans="1:81" s="1" customFormat="1" ht="15.75">
      <c r="A43" s="339"/>
      <c r="B43" s="236"/>
      <c r="C43" s="234"/>
      <c r="D43" s="234"/>
      <c r="E43" s="234"/>
      <c r="F43" s="234"/>
      <c r="G43" s="234"/>
      <c r="H43" s="234"/>
      <c r="I43" s="234"/>
      <c r="J43" s="234"/>
      <c r="K43" s="234"/>
      <c r="L43" s="234"/>
      <c r="M43" s="234"/>
      <c r="N43" s="235"/>
      <c r="O43" s="339"/>
      <c r="P43" s="339"/>
      <c r="Q43" s="339"/>
      <c r="R43" s="339"/>
      <c r="S43" s="339"/>
      <c r="T43" s="339"/>
      <c r="U43" s="339"/>
      <c r="V43" s="339"/>
      <c r="W43" s="339"/>
      <c r="X43" s="339"/>
      <c r="Y43" s="339"/>
      <c r="Z43" s="339"/>
      <c r="AA43" s="339"/>
      <c r="AB43" s="339"/>
      <c r="AC43" s="339"/>
      <c r="AD43" s="339"/>
      <c r="AE43" s="339"/>
      <c r="AF43" s="339"/>
      <c r="AG43" s="339"/>
      <c r="AH43" s="339"/>
      <c r="AI43" s="339"/>
      <c r="AJ43" s="339"/>
      <c r="AK43" s="339"/>
      <c r="AL43" s="339"/>
      <c r="AM43" s="339"/>
      <c r="AN43" s="339"/>
      <c r="AO43" s="339"/>
      <c r="AP43" s="339"/>
      <c r="AQ43" s="339"/>
      <c r="AR43" s="339"/>
      <c r="AS43" s="339"/>
      <c r="AT43" s="339"/>
      <c r="AU43" s="339"/>
      <c r="AV43" s="339"/>
      <c r="AW43" s="339"/>
      <c r="AX43" s="339"/>
      <c r="AY43" s="339"/>
      <c r="AZ43" s="339"/>
      <c r="BA43" s="339"/>
      <c r="BB43" s="339"/>
      <c r="BC43" s="339"/>
      <c r="BD43" s="339"/>
      <c r="BE43" s="339"/>
      <c r="BF43" s="339"/>
      <c r="BG43" s="339"/>
      <c r="BH43" s="339"/>
      <c r="BI43" s="339"/>
      <c r="BJ43" s="339"/>
      <c r="BK43" s="339"/>
      <c r="BL43" s="339"/>
      <c r="BM43" s="339"/>
      <c r="BN43" s="339"/>
      <c r="BO43" s="339"/>
      <c r="BP43" s="339"/>
      <c r="BQ43" s="339"/>
      <c r="BR43" s="339"/>
      <c r="BS43" s="339"/>
      <c r="BT43" s="339"/>
      <c r="BU43" s="339"/>
      <c r="BV43" s="339"/>
      <c r="BW43" s="339"/>
      <c r="BX43" s="339"/>
      <c r="BY43" s="339"/>
      <c r="BZ43" s="339"/>
      <c r="CA43" s="339"/>
      <c r="CB43" s="339"/>
      <c r="CC43" s="339"/>
    </row>
    <row r="44" spans="1:81" s="1" customFormat="1" ht="15.75">
      <c r="A44" s="339"/>
      <c r="B44" s="236"/>
      <c r="C44" s="234"/>
      <c r="D44" s="234"/>
      <c r="E44" s="234"/>
      <c r="F44" s="234"/>
      <c r="G44" s="234"/>
      <c r="H44" s="234"/>
      <c r="I44" s="234"/>
      <c r="J44" s="234"/>
      <c r="K44" s="234"/>
      <c r="L44" s="234"/>
      <c r="M44" s="234"/>
      <c r="N44" s="235"/>
      <c r="O44" s="339"/>
      <c r="P44" s="339"/>
      <c r="Q44" s="339"/>
      <c r="R44" s="339"/>
      <c r="S44" s="339"/>
      <c r="T44" s="339"/>
      <c r="U44" s="339"/>
      <c r="V44" s="339"/>
      <c r="W44" s="339"/>
      <c r="X44" s="339"/>
      <c r="Y44" s="339"/>
      <c r="Z44" s="339"/>
      <c r="AA44" s="339"/>
      <c r="AB44" s="339"/>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39"/>
      <c r="AY44" s="339"/>
      <c r="AZ44" s="339"/>
      <c r="BA44" s="339"/>
      <c r="BB44" s="339"/>
      <c r="BC44" s="339"/>
      <c r="BD44" s="339"/>
      <c r="BE44" s="339"/>
      <c r="BF44" s="339"/>
      <c r="BG44" s="339"/>
      <c r="BH44" s="339"/>
      <c r="BI44" s="339"/>
      <c r="BJ44" s="339"/>
      <c r="BK44" s="339"/>
      <c r="BL44" s="339"/>
      <c r="BM44" s="339"/>
      <c r="BN44" s="339"/>
      <c r="BO44" s="339"/>
      <c r="BP44" s="339"/>
      <c r="BQ44" s="339"/>
      <c r="BR44" s="339"/>
      <c r="BS44" s="339"/>
      <c r="BT44" s="339"/>
      <c r="BU44" s="339"/>
      <c r="BV44" s="339"/>
      <c r="BW44" s="339"/>
      <c r="BX44" s="339"/>
      <c r="BY44" s="339"/>
      <c r="BZ44" s="339"/>
      <c r="CA44" s="339"/>
      <c r="CB44" s="339"/>
      <c r="CC44" s="339"/>
    </row>
    <row r="45" spans="2:14" ht="15.75">
      <c r="B45" s="236"/>
      <c r="C45" s="234"/>
      <c r="D45" s="234"/>
      <c r="E45" s="234"/>
      <c r="F45" s="234"/>
      <c r="G45" s="234"/>
      <c r="H45" s="234"/>
      <c r="I45" s="234"/>
      <c r="J45" s="234"/>
      <c r="K45" s="234"/>
      <c r="L45" s="234"/>
      <c r="M45" s="234"/>
      <c r="N45" s="235"/>
    </row>
    <row r="46" spans="2:14" ht="15.75">
      <c r="B46" s="236"/>
      <c r="C46" s="234"/>
      <c r="D46" s="234"/>
      <c r="E46" s="234"/>
      <c r="F46" s="234"/>
      <c r="G46" s="234"/>
      <c r="H46" s="234"/>
      <c r="I46" s="234"/>
      <c r="J46" s="234"/>
      <c r="K46" s="234"/>
      <c r="L46" s="234"/>
      <c r="M46" s="234"/>
      <c r="N46" s="235"/>
    </row>
    <row r="47" spans="2:14" ht="15.75">
      <c r="B47" s="236"/>
      <c r="C47" s="234"/>
      <c r="D47" s="234"/>
      <c r="E47" s="234"/>
      <c r="F47" s="234"/>
      <c r="G47" s="234"/>
      <c r="H47" s="234"/>
      <c r="I47" s="234"/>
      <c r="J47" s="234"/>
      <c r="K47" s="234"/>
      <c r="L47" s="234"/>
      <c r="M47" s="234"/>
      <c r="N47" s="250"/>
    </row>
    <row r="48" spans="2:14" ht="15.75">
      <c r="B48" s="251"/>
      <c r="C48" s="252"/>
      <c r="D48" s="252"/>
      <c r="E48" s="252"/>
      <c r="F48" s="252"/>
      <c r="G48" s="252"/>
      <c r="H48" s="252"/>
      <c r="I48" s="252"/>
      <c r="J48" s="252"/>
      <c r="K48" s="252"/>
      <c r="L48" s="252"/>
      <c r="M48" s="252"/>
      <c r="N48" s="253"/>
    </row>
    <row r="49" spans="2:14" ht="15.75">
      <c r="B49" s="254"/>
      <c r="C49" s="242"/>
      <c r="D49" s="242"/>
      <c r="E49" s="242"/>
      <c r="F49" s="242"/>
      <c r="G49" s="242"/>
      <c r="H49" s="242"/>
      <c r="I49" s="242"/>
      <c r="J49" s="242"/>
      <c r="K49" s="242"/>
      <c r="L49" s="242"/>
      <c r="M49" s="242"/>
      <c r="N49" s="246"/>
    </row>
    <row r="50" spans="2:14" ht="15.75">
      <c r="B50" s="254"/>
      <c r="C50" s="242"/>
      <c r="D50" s="242"/>
      <c r="E50" s="242"/>
      <c r="F50" s="242"/>
      <c r="G50" s="242"/>
      <c r="H50" s="242"/>
      <c r="I50" s="242"/>
      <c r="J50" s="242"/>
      <c r="K50" s="242"/>
      <c r="L50" s="242"/>
      <c r="M50" s="242"/>
      <c r="N50" s="246"/>
    </row>
    <row r="51" spans="2:14" ht="15.75">
      <c r="B51" s="254"/>
      <c r="C51" s="242"/>
      <c r="D51" s="242"/>
      <c r="E51" s="242"/>
      <c r="F51" s="242"/>
      <c r="G51" s="242"/>
      <c r="H51" s="242"/>
      <c r="I51" s="242"/>
      <c r="J51" s="242"/>
      <c r="K51" s="242"/>
      <c r="L51" s="242"/>
      <c r="M51" s="242"/>
      <c r="N51" s="246"/>
    </row>
    <row r="52" spans="2:14" ht="16.5" thickBot="1">
      <c r="B52" s="255"/>
      <c r="C52" s="256"/>
      <c r="D52" s="256"/>
      <c r="E52" s="256"/>
      <c r="F52" s="256"/>
      <c r="G52" s="256"/>
      <c r="H52" s="256"/>
      <c r="I52" s="256"/>
      <c r="J52" s="256"/>
      <c r="K52" s="256"/>
      <c r="L52" s="256"/>
      <c r="M52" s="256"/>
      <c r="N52" s="257"/>
    </row>
    <row r="53" s="339" customFormat="1" ht="15.75" thickTop="1"/>
    <row r="54" s="339" customFormat="1" ht="15"/>
    <row r="55" s="339" customFormat="1" ht="15"/>
    <row r="56" s="339" customFormat="1" ht="15"/>
    <row r="57" s="339" customFormat="1" ht="15"/>
    <row r="58" s="339" customFormat="1" ht="15"/>
    <row r="59" s="339" customFormat="1" ht="15"/>
    <row r="60" s="339" customFormat="1" ht="15"/>
    <row r="61" s="339" customFormat="1" ht="15"/>
    <row r="62" s="339" customFormat="1" ht="15"/>
    <row r="63" s="339" customFormat="1" ht="15"/>
    <row r="64" s="339" customFormat="1" ht="15"/>
    <row r="65" s="339" customFormat="1" ht="15"/>
    <row r="66" s="339" customFormat="1" ht="15"/>
    <row r="67" s="339" customFormat="1" ht="15"/>
    <row r="68" s="339" customFormat="1" ht="15"/>
    <row r="69" s="339" customFormat="1" ht="15"/>
    <row r="70" s="339" customFormat="1" ht="15"/>
    <row r="71" s="339" customFormat="1" ht="15"/>
    <row r="72" s="339" customFormat="1" ht="15"/>
    <row r="73" s="339" customFormat="1" ht="15"/>
    <row r="74" s="339" customFormat="1" ht="15"/>
    <row r="75" s="339" customFormat="1" ht="15"/>
    <row r="76" s="339" customFormat="1" ht="15"/>
    <row r="77" s="339" customFormat="1" ht="15"/>
    <row r="78" s="339" customFormat="1" ht="15"/>
    <row r="79" s="339" customFormat="1" ht="15"/>
    <row r="80" s="339" customFormat="1" ht="15"/>
    <row r="81" s="339" customFormat="1" ht="15"/>
    <row r="82" s="339" customFormat="1" ht="15"/>
    <row r="83" s="339" customFormat="1" ht="15"/>
    <row r="84" s="339" customFormat="1" ht="15"/>
    <row r="85" s="339" customFormat="1" ht="15"/>
    <row r="86" s="339" customFormat="1" ht="15"/>
    <row r="87" s="339" customFormat="1" ht="15"/>
    <row r="88" s="339" customFormat="1" ht="15"/>
    <row r="89" s="339" customFormat="1" ht="15"/>
    <row r="90" s="339" customFormat="1" ht="15"/>
    <row r="91" s="339" customFormat="1" ht="15"/>
    <row r="92" s="339" customFormat="1" ht="15"/>
    <row r="93" s="339" customFormat="1" ht="15"/>
    <row r="94" s="339" customFormat="1" ht="15"/>
    <row r="95" s="339" customFormat="1" ht="15"/>
    <row r="96" s="339" customFormat="1" ht="15"/>
    <row r="97" s="339" customFormat="1" ht="15"/>
    <row r="98" s="339" customFormat="1" ht="15"/>
    <row r="99" s="339" customFormat="1" ht="15"/>
    <row r="100" s="339" customFormat="1" ht="15"/>
    <row r="101" s="339" customFormat="1" ht="15"/>
    <row r="102" s="339" customFormat="1" ht="15"/>
    <row r="103" s="339" customFormat="1" ht="15"/>
    <row r="104" s="339" customFormat="1" ht="15"/>
    <row r="105" s="339" customFormat="1" ht="15"/>
    <row r="106" s="339" customFormat="1" ht="15"/>
    <row r="107" s="339" customFormat="1" ht="15"/>
    <row r="108" s="339" customFormat="1" ht="15"/>
    <row r="109" s="339" customFormat="1" ht="15"/>
    <row r="110" s="339" customFormat="1" ht="15"/>
    <row r="111" s="339" customFormat="1" ht="15"/>
    <row r="112" s="339" customFormat="1" ht="15"/>
    <row r="113" s="339" customFormat="1" ht="15"/>
    <row r="114" s="339" customFormat="1" ht="15"/>
    <row r="115" s="339" customFormat="1" ht="15"/>
    <row r="116" s="339" customFormat="1" ht="15"/>
    <row r="117" s="339" customFormat="1" ht="15"/>
    <row r="118" s="339" customFormat="1" ht="15"/>
    <row r="119" s="339" customFormat="1" ht="15"/>
    <row r="120" s="339" customFormat="1" ht="15"/>
    <row r="121" s="339" customFormat="1" ht="15"/>
    <row r="122" s="339" customFormat="1" ht="15"/>
    <row r="123" s="339" customFormat="1" ht="15"/>
    <row r="124" s="339" customFormat="1" ht="15"/>
    <row r="125" s="339" customFormat="1" ht="15"/>
    <row r="126" s="339" customFormat="1" ht="15"/>
    <row r="127" s="339" customFormat="1" ht="15"/>
    <row r="128" s="339" customFormat="1" ht="15"/>
    <row r="129" s="339" customFormat="1" ht="15"/>
    <row r="130" s="339" customFormat="1" ht="15"/>
    <row r="131" s="339" customFormat="1" ht="15"/>
    <row r="132" s="339" customFormat="1" ht="15"/>
    <row r="133" s="339" customFormat="1" ht="15"/>
    <row r="134" s="339" customFormat="1" ht="15"/>
    <row r="135" s="339" customFormat="1" ht="15"/>
    <row r="136" s="339" customFormat="1" ht="15"/>
    <row r="137" s="339" customFormat="1" ht="15"/>
    <row r="138" s="339" customFormat="1" ht="15"/>
    <row r="139" s="339" customFormat="1" ht="15"/>
    <row r="140" s="339" customFormat="1" ht="15"/>
    <row r="141" s="339" customFormat="1" ht="15"/>
    <row r="142" s="339" customFormat="1" ht="15"/>
    <row r="143" s="339" customFormat="1" ht="15"/>
    <row r="144" s="339" customFormat="1" ht="15"/>
    <row r="145" s="339" customFormat="1" ht="15"/>
    <row r="146" s="339" customFormat="1" ht="15"/>
    <row r="147" s="339" customFormat="1" ht="15"/>
    <row r="148" s="339" customFormat="1" ht="15"/>
    <row r="149" s="339" customFormat="1" ht="15"/>
    <row r="150" s="339" customFormat="1" ht="15"/>
    <row r="151" s="339" customFormat="1" ht="15"/>
    <row r="152" s="339" customFormat="1" ht="15"/>
    <row r="153" s="339" customFormat="1" ht="15"/>
    <row r="154" s="339" customFormat="1" ht="15"/>
    <row r="155" s="339" customFormat="1" ht="15"/>
    <row r="156" s="339" customFormat="1" ht="15"/>
    <row r="157" s="339" customFormat="1" ht="15"/>
    <row r="158" s="339" customFormat="1" ht="15"/>
    <row r="159" s="339" customFormat="1" ht="15"/>
    <row r="160" s="339" customFormat="1" ht="15"/>
    <row r="161" s="339" customFormat="1" ht="15"/>
    <row r="162" s="339" customFormat="1" ht="15"/>
    <row r="163" s="339" customFormat="1" ht="15"/>
    <row r="164" s="339" customFormat="1" ht="15"/>
    <row r="165" s="339" customFormat="1" ht="15"/>
    <row r="166" s="339" customFormat="1" ht="15"/>
    <row r="167" s="339" customFormat="1" ht="15"/>
    <row r="168" s="339" customFormat="1" ht="15"/>
    <row r="169" s="339" customFormat="1" ht="15"/>
    <row r="170" s="339" customFormat="1" ht="15"/>
    <row r="171" s="339" customFormat="1" ht="15"/>
    <row r="172" s="339" customFormat="1" ht="15"/>
    <row r="173" s="339" customFormat="1" ht="15"/>
    <row r="174" s="339" customFormat="1" ht="15"/>
    <row r="175" s="339" customFormat="1" ht="15"/>
    <row r="176" s="339" customFormat="1" ht="15"/>
    <row r="177" s="339" customFormat="1" ht="15"/>
    <row r="178" s="339" customFormat="1" ht="15"/>
    <row r="179" s="339" customFormat="1" ht="15"/>
    <row r="180" s="339" customFormat="1" ht="15"/>
    <row r="181" s="339" customFormat="1" ht="15"/>
    <row r="182" s="339" customFormat="1" ht="15"/>
    <row r="183" s="339" customFormat="1" ht="15"/>
    <row r="184" s="339" customFormat="1" ht="15"/>
    <row r="185" s="339" customFormat="1" ht="15"/>
    <row r="186" s="339" customFormat="1" ht="15"/>
    <row r="187" s="339" customFormat="1" ht="15"/>
    <row r="188" s="339" customFormat="1" ht="15"/>
    <row r="189" s="339" customFormat="1" ht="15"/>
    <row r="190" s="339" customFormat="1" ht="15"/>
    <row r="191" s="339" customFormat="1" ht="15"/>
    <row r="192" s="339" customFormat="1" ht="15"/>
    <row r="193" s="339" customFormat="1" ht="15"/>
    <row r="194" s="339" customFormat="1" ht="15"/>
    <row r="195" s="339" customFormat="1" ht="15"/>
    <row r="196" s="339" customFormat="1" ht="15"/>
    <row r="197" s="339" customFormat="1" ht="15"/>
    <row r="198" s="339" customFormat="1" ht="15"/>
    <row r="199" s="339" customFormat="1" ht="15"/>
    <row r="200" s="339" customFormat="1" ht="15"/>
    <row r="201" s="339" customFormat="1" ht="15"/>
    <row r="202" s="339" customFormat="1" ht="15"/>
    <row r="203" s="339" customFormat="1" ht="15"/>
    <row r="204" s="339" customFormat="1" ht="15"/>
    <row r="205" s="339" customFormat="1" ht="15"/>
    <row r="206" s="339" customFormat="1" ht="15"/>
    <row r="207" s="339" customFormat="1" ht="15"/>
    <row r="208" s="339" customFormat="1" ht="15"/>
    <row r="209" s="339" customFormat="1" ht="15"/>
    <row r="210" s="339" customFormat="1" ht="15"/>
    <row r="211" s="339" customFormat="1" ht="15"/>
    <row r="212" s="339" customFormat="1" ht="15"/>
    <row r="213" s="339" customFormat="1" ht="15"/>
    <row r="214" s="339" customFormat="1" ht="15"/>
    <row r="215" s="339" customFormat="1" ht="15"/>
    <row r="216" s="339" customFormat="1" ht="15"/>
    <row r="217" s="339" customFormat="1" ht="15"/>
    <row r="218" s="339" customFormat="1" ht="15"/>
    <row r="219" s="339" customFormat="1" ht="15"/>
    <row r="220" s="339" customFormat="1" ht="15"/>
    <row r="221" s="339" customFormat="1" ht="15"/>
    <row r="222" s="339" customFormat="1" ht="15"/>
    <row r="223" s="339" customFormat="1" ht="15"/>
    <row r="224" s="339" customFormat="1" ht="15"/>
    <row r="225" s="339" customFormat="1" ht="15"/>
    <row r="226" s="339" customFormat="1" ht="15"/>
    <row r="227" s="339" customFormat="1" ht="15"/>
    <row r="228" s="339" customFormat="1" ht="15"/>
    <row r="229" s="339" customFormat="1" ht="15"/>
    <row r="230" s="339" customFormat="1" ht="15"/>
    <row r="231" s="339" customFormat="1" ht="15"/>
    <row r="232" s="339" customFormat="1" ht="15"/>
    <row r="233" s="339" customFormat="1" ht="15"/>
    <row r="234" s="339" customFormat="1" ht="15"/>
    <row r="235" s="339" customFormat="1" ht="15"/>
    <row r="236" s="339" customFormat="1" ht="15"/>
    <row r="237" s="339" customFormat="1" ht="15"/>
    <row r="238" s="339" customFormat="1" ht="15"/>
    <row r="239" s="339" customFormat="1" ht="15"/>
    <row r="240" s="339" customFormat="1" ht="15"/>
    <row r="241" s="339" customFormat="1" ht="15"/>
    <row r="242" s="339" customFormat="1" ht="15"/>
    <row r="243" s="339" customFormat="1" ht="15"/>
    <row r="244" s="339" customFormat="1" ht="15"/>
    <row r="245" s="339" customFormat="1" ht="15"/>
    <row r="246" s="339" customFormat="1" ht="15"/>
    <row r="247" s="339" customFormat="1" ht="15"/>
    <row r="248" s="339" customFormat="1" ht="15"/>
    <row r="249" s="339" customFormat="1" ht="15"/>
    <row r="250" s="339" customFormat="1" ht="15"/>
    <row r="251" s="339" customFormat="1" ht="15"/>
    <row r="252" s="339" customFormat="1" ht="15"/>
    <row r="253" s="339" customFormat="1" ht="15"/>
    <row r="254" s="339" customFormat="1" ht="15"/>
    <row r="255" s="339" customFormat="1" ht="15"/>
    <row r="256" s="339" customFormat="1" ht="15"/>
    <row r="257" s="339" customFormat="1" ht="15"/>
    <row r="258" s="339" customFormat="1" ht="15"/>
    <row r="259" s="339" customFormat="1" ht="15"/>
    <row r="260" s="339" customFormat="1" ht="15"/>
    <row r="261" s="339" customFormat="1" ht="15"/>
    <row r="262" s="339" customFormat="1" ht="15"/>
    <row r="263" s="339" customFormat="1" ht="15"/>
    <row r="264" s="339" customFormat="1" ht="15"/>
    <row r="265" s="339" customFormat="1" ht="15"/>
    <row r="266" s="339" customFormat="1" ht="15"/>
    <row r="267" s="339" customFormat="1" ht="15"/>
    <row r="268" s="339" customFormat="1" ht="15"/>
    <row r="269" s="339" customFormat="1" ht="15"/>
    <row r="270" s="339" customFormat="1" ht="15"/>
    <row r="271" s="339" customFormat="1" ht="15"/>
    <row r="272" s="339" customFormat="1" ht="15"/>
    <row r="273" s="339" customFormat="1" ht="15"/>
    <row r="274" s="339" customFormat="1" ht="15"/>
    <row r="275" s="339" customFormat="1" ht="15"/>
    <row r="276" s="339" customFormat="1" ht="15"/>
    <row r="277" s="339" customFormat="1" ht="15"/>
    <row r="278" s="339" customFormat="1" ht="15"/>
    <row r="279" s="339" customFormat="1" ht="15"/>
    <row r="280" s="339" customFormat="1" ht="15"/>
    <row r="281" s="339" customFormat="1" ht="15"/>
    <row r="282" s="339" customFormat="1" ht="15"/>
    <row r="283" s="339" customFormat="1" ht="15"/>
    <row r="284" s="339" customFormat="1" ht="15"/>
    <row r="285" s="339" customFormat="1" ht="15"/>
    <row r="286" s="339" customFormat="1" ht="15"/>
    <row r="287" s="339" customFormat="1" ht="15"/>
    <row r="288" s="339" customFormat="1" ht="15"/>
    <row r="289" s="339" customFormat="1" ht="15"/>
    <row r="290" s="339" customFormat="1" ht="15"/>
    <row r="291" s="339" customFormat="1" ht="15"/>
    <row r="292" s="339" customFormat="1" ht="15"/>
    <row r="293" s="339" customFormat="1" ht="15"/>
    <row r="294" s="339" customFormat="1" ht="15"/>
    <row r="295" s="339" customFormat="1" ht="15"/>
    <row r="296" s="339" customFormat="1" ht="15"/>
    <row r="297" s="339" customFormat="1" ht="15"/>
    <row r="298" s="339" customFormat="1" ht="15"/>
    <row r="299" s="339" customFormat="1" ht="15"/>
    <row r="300" s="339" customFormat="1" ht="15"/>
    <row r="301" s="339" customFormat="1" ht="15"/>
    <row r="302" s="339" customFormat="1" ht="15"/>
    <row r="303" s="339" customFormat="1" ht="15"/>
    <row r="304" s="339" customFormat="1" ht="15"/>
    <row r="305" s="339" customFormat="1" ht="15"/>
    <row r="306" s="339" customFormat="1" ht="15"/>
    <row r="307" s="339" customFormat="1" ht="15"/>
    <row r="308" s="339" customFormat="1" ht="15"/>
    <row r="309" s="339" customFormat="1" ht="15"/>
    <row r="310" s="339" customFormat="1" ht="15"/>
    <row r="311" s="339" customFormat="1" ht="15"/>
    <row r="312" s="339" customFormat="1" ht="15"/>
    <row r="313" s="339" customFormat="1" ht="15"/>
    <row r="314" s="339" customFormat="1" ht="15"/>
    <row r="315" s="339" customFormat="1" ht="15"/>
    <row r="316" s="339" customFormat="1" ht="15"/>
    <row r="317" s="339" customFormat="1" ht="15"/>
    <row r="318" s="339" customFormat="1" ht="15"/>
    <row r="319" s="339" customFormat="1" ht="15"/>
    <row r="320" s="339" customFormat="1" ht="15"/>
    <row r="321" s="339" customFormat="1" ht="15"/>
    <row r="322" s="339" customFormat="1" ht="15"/>
    <row r="323" s="339" customFormat="1" ht="15"/>
    <row r="324" s="339" customFormat="1" ht="15"/>
    <row r="325" s="339" customFormat="1" ht="15"/>
    <row r="326" s="339" customFormat="1" ht="15"/>
    <row r="327" s="339" customFormat="1" ht="15"/>
    <row r="328" s="339" customFormat="1" ht="15"/>
    <row r="329" s="339" customFormat="1" ht="15"/>
    <row r="330" s="339" customFormat="1" ht="15"/>
    <row r="331" s="339" customFormat="1" ht="15"/>
    <row r="332" s="339" customFormat="1" ht="15"/>
    <row r="333" s="339" customFormat="1" ht="15"/>
    <row r="334" s="339" customFormat="1" ht="15"/>
    <row r="335" s="339" customFormat="1" ht="15"/>
    <row r="336" s="339" customFormat="1" ht="15"/>
    <row r="337" s="339" customFormat="1" ht="15"/>
    <row r="338" s="339" customFormat="1" ht="15"/>
    <row r="339" s="339" customFormat="1" ht="15"/>
    <row r="340" s="339" customFormat="1" ht="15"/>
    <row r="341" s="339" customFormat="1" ht="15"/>
    <row r="342" s="339" customFormat="1" ht="15"/>
    <row r="343" s="339" customFormat="1" ht="15"/>
    <row r="344" s="339" customFormat="1" ht="15"/>
    <row r="345" s="339" customFormat="1" ht="15"/>
    <row r="346" s="339" customFormat="1" ht="15"/>
    <row r="347" s="339" customFormat="1" ht="15"/>
    <row r="348" s="339" customFormat="1" ht="15"/>
    <row r="349" s="339" customFormat="1" ht="15"/>
    <row r="350" s="339" customFormat="1" ht="15"/>
    <row r="351" s="339" customFormat="1" ht="15"/>
    <row r="352" s="339" customFormat="1" ht="15"/>
    <row r="353" s="339" customFormat="1" ht="15"/>
    <row r="354" s="339" customFormat="1" ht="15"/>
    <row r="355" s="339" customFormat="1" ht="15"/>
    <row r="356" s="339" customFormat="1" ht="15"/>
    <row r="357" s="339" customFormat="1" ht="15"/>
    <row r="358" s="339" customFormat="1" ht="15"/>
    <row r="359" s="339" customFormat="1" ht="15"/>
    <row r="360" s="339" customFormat="1" ht="15"/>
    <row r="361" s="339" customFormat="1" ht="15"/>
    <row r="362" s="339" customFormat="1" ht="15"/>
    <row r="363" s="339" customFormat="1" ht="15"/>
    <row r="364" s="339" customFormat="1" ht="15"/>
    <row r="365" s="339" customFormat="1" ht="15"/>
    <row r="366" s="339" customFormat="1" ht="15"/>
    <row r="367" s="339" customFormat="1" ht="15"/>
    <row r="368" s="339" customFormat="1" ht="15"/>
    <row r="369" s="339" customFormat="1" ht="15"/>
    <row r="370" s="339" customFormat="1" ht="15"/>
    <row r="371" s="339" customFormat="1" ht="15"/>
    <row r="372" s="339" customFormat="1" ht="15"/>
    <row r="373" s="339" customFormat="1" ht="15"/>
    <row r="374" s="339" customFormat="1" ht="15"/>
    <row r="375" s="339" customFormat="1" ht="15"/>
    <row r="376" s="339" customFormat="1" ht="15"/>
    <row r="377" s="339" customFormat="1" ht="15"/>
    <row r="378" s="339" customFormat="1" ht="15"/>
    <row r="379" s="339" customFormat="1" ht="15"/>
    <row r="380" s="339" customFormat="1" ht="15"/>
    <row r="381" s="339" customFormat="1" ht="15"/>
    <row r="382" s="339" customFormat="1" ht="15"/>
    <row r="383" s="339" customFormat="1" ht="15"/>
    <row r="384" s="339" customFormat="1" ht="15"/>
    <row r="385" s="339" customFormat="1" ht="15"/>
    <row r="386" s="339" customFormat="1" ht="15"/>
    <row r="387" s="339" customFormat="1" ht="15"/>
    <row r="388" s="339" customFormat="1" ht="15"/>
    <row r="389" s="339" customFormat="1" ht="15"/>
    <row r="390" s="339" customFormat="1" ht="15"/>
    <row r="391" s="339" customFormat="1" ht="15"/>
    <row r="392" s="339" customFormat="1" ht="15"/>
    <row r="393" s="339" customFormat="1" ht="15"/>
    <row r="394" s="339" customFormat="1" ht="15"/>
    <row r="395" s="339" customFormat="1" ht="15"/>
    <row r="396" s="339" customFormat="1" ht="15"/>
    <row r="397" s="339" customFormat="1" ht="15"/>
    <row r="398" s="339" customFormat="1" ht="15"/>
    <row r="399" s="339" customFormat="1" ht="15"/>
    <row r="400" s="339" customFormat="1" ht="15"/>
    <row r="401" s="339" customFormat="1" ht="15"/>
    <row r="402" s="339" customFormat="1" ht="15"/>
    <row r="403" s="339" customFormat="1" ht="15"/>
    <row r="404" s="339" customFormat="1" ht="15"/>
    <row r="405" s="339" customFormat="1" ht="15"/>
    <row r="406" s="339" customFormat="1" ht="15"/>
    <row r="407" s="339" customFormat="1" ht="15"/>
    <row r="408" s="339" customFormat="1" ht="15"/>
    <row r="409" s="339" customFormat="1" ht="15"/>
    <row r="410" s="339" customFormat="1" ht="15"/>
    <row r="411" s="339" customFormat="1" ht="15"/>
    <row r="412" s="339" customFormat="1" ht="15"/>
    <row r="413" s="339" customFormat="1" ht="15"/>
    <row r="414" s="339" customFormat="1" ht="15"/>
    <row r="415" s="339" customFormat="1" ht="15"/>
    <row r="416" s="339" customFormat="1" ht="15"/>
    <row r="417" s="339" customFormat="1" ht="15"/>
    <row r="418" s="339" customFormat="1" ht="15"/>
    <row r="419" s="339" customFormat="1" ht="15"/>
    <row r="420" s="339" customFormat="1" ht="15"/>
    <row r="421" s="339" customFormat="1" ht="15"/>
    <row r="422" s="339" customFormat="1" ht="15"/>
    <row r="423" s="339" customFormat="1" ht="15"/>
    <row r="424" s="339" customFormat="1" ht="15"/>
    <row r="425" s="339" customFormat="1" ht="15"/>
    <row r="426" s="339" customFormat="1" ht="15"/>
    <row r="427" s="339" customFormat="1" ht="15"/>
    <row r="428" s="339" customFormat="1" ht="15"/>
    <row r="429" s="339" customFormat="1" ht="15"/>
    <row r="430" s="339" customFormat="1" ht="15"/>
    <row r="431" s="339" customFormat="1" ht="15"/>
    <row r="432" s="339" customFormat="1" ht="15"/>
    <row r="433" s="339" customFormat="1" ht="15"/>
    <row r="434" s="339" customFormat="1" ht="15"/>
    <row r="435" s="339" customFormat="1" ht="15"/>
    <row r="436" s="339" customFormat="1" ht="15"/>
    <row r="437" s="339" customFormat="1" ht="15"/>
    <row r="438" s="339" customFormat="1" ht="15"/>
    <row r="439" s="339" customFormat="1" ht="15"/>
    <row r="440" s="339" customFormat="1" ht="15"/>
    <row r="441" s="339" customFormat="1" ht="15"/>
    <row r="442" s="339" customFormat="1" ht="15"/>
    <row r="443" s="339" customFormat="1" ht="15"/>
    <row r="444" s="339" customFormat="1" ht="15"/>
    <row r="445" s="339" customFormat="1" ht="15"/>
    <row r="446" s="339" customFormat="1" ht="15"/>
    <row r="447" s="339" customFormat="1" ht="15"/>
    <row r="448" s="339" customFormat="1" ht="15"/>
    <row r="449" s="339" customFormat="1" ht="15"/>
    <row r="450" s="339" customFormat="1" ht="15"/>
    <row r="451" s="339" customFormat="1" ht="15"/>
    <row r="452" s="339" customFormat="1" ht="15"/>
    <row r="453" s="339" customFormat="1" ht="15"/>
    <row r="454" s="339" customFormat="1" ht="15"/>
    <row r="455" s="339" customFormat="1" ht="15"/>
    <row r="456" s="339" customFormat="1" ht="15"/>
    <row r="457" s="339" customFormat="1" ht="15"/>
    <row r="458" s="339" customFormat="1" ht="15"/>
    <row r="459" s="339" customFormat="1" ht="15"/>
    <row r="460" s="339" customFormat="1" ht="15"/>
    <row r="461" s="339" customFormat="1" ht="15"/>
    <row r="462" s="339" customFormat="1" ht="15"/>
    <row r="463" s="339" customFormat="1" ht="15"/>
    <row r="464" s="339" customFormat="1" ht="15"/>
    <row r="465" s="339" customFormat="1" ht="15"/>
    <row r="466" s="339" customFormat="1" ht="15"/>
    <row r="467" s="339" customFormat="1" ht="15"/>
    <row r="468" s="339" customFormat="1" ht="15"/>
    <row r="469" s="339" customFormat="1" ht="15"/>
    <row r="470" s="339" customFormat="1" ht="15"/>
    <row r="471" s="339" customFormat="1" ht="15"/>
    <row r="472" s="339" customFormat="1" ht="15"/>
    <row r="473" s="339" customFormat="1" ht="15"/>
    <row r="474" s="339" customFormat="1" ht="15"/>
    <row r="475" s="339" customFormat="1" ht="15"/>
    <row r="476" s="339" customFormat="1" ht="15"/>
    <row r="477" s="339" customFormat="1" ht="15"/>
    <row r="478" s="339" customFormat="1" ht="15"/>
    <row r="479" s="339" customFormat="1" ht="15"/>
    <row r="480" s="339" customFormat="1" ht="15"/>
    <row r="481" s="339" customFormat="1" ht="15"/>
    <row r="482" s="339" customFormat="1" ht="15"/>
    <row r="483" s="339" customFormat="1" ht="15"/>
    <row r="484" s="339" customFormat="1" ht="15"/>
    <row r="485" s="339" customFormat="1" ht="15"/>
    <row r="486" s="339" customFormat="1" ht="15"/>
    <row r="487" s="339" customFormat="1" ht="15"/>
    <row r="488" s="339" customFormat="1" ht="15"/>
    <row r="489" s="339" customFormat="1" ht="15"/>
    <row r="490" s="339" customFormat="1" ht="15"/>
    <row r="491" s="339" customFormat="1" ht="15"/>
    <row r="492" s="339" customFormat="1" ht="15"/>
    <row r="493" s="339" customFormat="1" ht="15"/>
    <row r="494" s="339" customFormat="1" ht="15"/>
    <row r="495" s="339" customFormat="1" ht="15"/>
    <row r="496" s="339" customFormat="1" ht="15"/>
    <row r="497" s="339" customFormat="1" ht="15"/>
    <row r="498" s="339" customFormat="1" ht="15"/>
    <row r="499" s="339" customFormat="1" ht="15"/>
    <row r="500" s="339" customFormat="1" ht="15"/>
    <row r="501" s="339" customFormat="1" ht="15"/>
    <row r="502" s="339" customFormat="1" ht="15"/>
    <row r="503" s="339" customFormat="1" ht="15"/>
    <row r="504" s="339" customFormat="1" ht="15"/>
    <row r="505" s="339" customFormat="1" ht="15"/>
    <row r="506" s="339" customFormat="1" ht="15"/>
    <row r="507" s="339" customFormat="1" ht="15"/>
    <row r="508" s="339" customFormat="1" ht="15"/>
    <row r="509" s="339" customFormat="1" ht="15"/>
    <row r="510" s="339" customFormat="1" ht="15"/>
    <row r="511" s="339" customFormat="1" ht="15"/>
    <row r="512" s="339" customFormat="1" ht="15"/>
    <row r="513" s="339" customFormat="1" ht="15"/>
    <row r="514" s="339" customFormat="1" ht="15"/>
    <row r="515" s="339" customFormat="1" ht="15"/>
    <row r="516" s="339" customFormat="1" ht="15"/>
    <row r="517" s="339" customFormat="1" ht="15"/>
    <row r="518" s="339" customFormat="1" ht="15"/>
    <row r="519" s="339" customFormat="1" ht="15"/>
    <row r="520" s="339" customFormat="1" ht="15"/>
    <row r="521" s="339" customFormat="1" ht="15"/>
    <row r="522" s="339" customFormat="1" ht="15"/>
    <row r="523" s="339" customFormat="1" ht="15"/>
    <row r="524" s="339" customFormat="1" ht="15"/>
    <row r="525" s="339" customFormat="1" ht="15"/>
    <row r="526" s="339" customFormat="1" ht="15"/>
    <row r="527" s="339" customFormat="1" ht="15"/>
    <row r="528" s="339" customFormat="1" ht="15"/>
    <row r="529" s="339" customFormat="1" ht="15"/>
    <row r="530" s="339" customFormat="1" ht="15"/>
    <row r="531" s="339" customFormat="1" ht="15"/>
    <row r="532" s="339" customFormat="1" ht="15"/>
    <row r="533" s="339" customFormat="1" ht="15"/>
    <row r="534" s="339" customFormat="1" ht="15"/>
    <row r="535" s="339" customFormat="1" ht="15"/>
    <row r="536" s="339" customFormat="1" ht="15"/>
    <row r="537" s="339" customFormat="1" ht="15"/>
    <row r="538" s="339" customFormat="1" ht="15"/>
    <row r="539" s="339" customFormat="1" ht="15"/>
    <row r="540" s="339" customFormat="1" ht="15"/>
    <row r="541" s="339" customFormat="1" ht="15"/>
    <row r="542" s="339" customFormat="1" ht="15"/>
    <row r="543" s="339" customFormat="1" ht="15"/>
    <row r="544" s="339" customFormat="1" ht="15"/>
    <row r="545" s="339" customFormat="1" ht="15"/>
    <row r="546" s="339" customFormat="1" ht="15"/>
  </sheetData>
  <sheetProtection password="E69A" sheet="1" objects="1" scenarios="1" selectLockedCells="1" selectUnlockedCells="1"/>
  <mergeCells count="20">
    <mergeCell ref="C24:N24"/>
    <mergeCell ref="C25:N25"/>
    <mergeCell ref="C26:N26"/>
    <mergeCell ref="C27:N27"/>
    <mergeCell ref="C32:I32"/>
    <mergeCell ref="B2:N2"/>
    <mergeCell ref="K10:N10"/>
    <mergeCell ref="C13:N13"/>
    <mergeCell ref="K19:N19"/>
    <mergeCell ref="B20:N20"/>
    <mergeCell ref="B39:N39"/>
    <mergeCell ref="C12:F12"/>
    <mergeCell ref="I12:K12"/>
    <mergeCell ref="C29:N29"/>
    <mergeCell ref="C30:F30"/>
    <mergeCell ref="C31:N31"/>
    <mergeCell ref="C33:N33"/>
    <mergeCell ref="I37:N37"/>
    <mergeCell ref="C22:N22"/>
    <mergeCell ref="C23:N23"/>
  </mergeCells>
  <printOptions/>
  <pageMargins left="0.4" right="0.39" top="0.4" bottom="0.25" header="0.38" footer="0.19"/>
  <pageSetup horizontalDpi="300" verticalDpi="300" orientation="portrait" paperSize="9" r:id="rId2"/>
  <ignoredErrors>
    <ignoredError sqref="B4:B7" numberStoredAsText="1"/>
  </ignoredErrors>
  <drawing r:id="rId1"/>
</worksheet>
</file>

<file path=xl/worksheets/sheet6.xml><?xml version="1.0" encoding="utf-8"?>
<worksheet xmlns="http://schemas.openxmlformats.org/spreadsheetml/2006/main" xmlns:r="http://schemas.openxmlformats.org/officeDocument/2006/relationships">
  <sheetPr>
    <tabColor rgb="FFFF0000"/>
  </sheetPr>
  <dimension ref="B2:AV45"/>
  <sheetViews>
    <sheetView showGridLines="0" showRowColHeaders="0" zoomScalePageLayoutView="0" workbookViewId="0" topLeftCell="A1">
      <selection activeCell="AV13" sqref="AV13"/>
    </sheetView>
  </sheetViews>
  <sheetFormatPr defaultColWidth="9.140625" defaultRowHeight="15"/>
  <cols>
    <col min="1" max="1" width="4.140625" style="339" customWidth="1"/>
    <col min="2" max="2" width="10.140625" style="0" customWidth="1"/>
    <col min="3" max="3" width="2.140625" style="0" bestFit="1" customWidth="1"/>
    <col min="4" max="4" width="4.28125" style="0" customWidth="1"/>
    <col min="5" max="5" width="1.28515625" style="0" customWidth="1"/>
    <col min="6" max="9" width="4.140625" style="0" customWidth="1"/>
    <col min="10" max="10" width="4.28125" style="0" customWidth="1"/>
    <col min="11" max="11" width="1.28515625" style="0" customWidth="1"/>
    <col min="12" max="13" width="4.140625" style="0" customWidth="1"/>
    <col min="14" max="14" width="1.28515625" style="0" customWidth="1"/>
    <col min="15" max="17" width="4.00390625" style="0" customWidth="1"/>
    <col min="18" max="18" width="3.7109375" style="0" customWidth="1"/>
    <col min="19" max="19" width="4.57421875" style="0" customWidth="1"/>
    <col min="20" max="20" width="4.140625" style="0" customWidth="1"/>
    <col min="21" max="21" width="2.421875" style="0" customWidth="1"/>
    <col min="22" max="22" width="0.85546875" style="0" customWidth="1"/>
    <col min="23" max="23" width="5.421875" style="0" customWidth="1"/>
    <col min="24" max="24" width="1.7109375" style="0" customWidth="1"/>
    <col min="25" max="29" width="3.8515625" style="0" customWidth="1"/>
    <col min="30" max="39" width="3.421875" style="0" customWidth="1"/>
    <col min="40" max="40" width="3.8515625" style="0" customWidth="1"/>
    <col min="41" max="41" width="3.28125" style="0" customWidth="1"/>
    <col min="42" max="44" width="3.7109375" style="0" customWidth="1"/>
    <col min="45" max="45" width="3.140625" style="0" customWidth="1"/>
    <col min="46" max="46" width="2.28125" style="0" customWidth="1"/>
    <col min="47" max="82" width="9.140625" style="339" customWidth="1"/>
  </cols>
  <sheetData>
    <row r="1" s="339" customFormat="1" ht="15.75" thickBot="1"/>
    <row r="2" spans="2:46" ht="23.25" thickTop="1">
      <c r="B2" s="749" t="str">
        <f>CONCATENATE("GOVERNMENT OF ",DATA!AD128)</f>
        <v>GOVERNMENT OF TELANGANA</v>
      </c>
      <c r="C2" s="750"/>
      <c r="D2" s="750"/>
      <c r="E2" s="750"/>
      <c r="F2" s="750"/>
      <c r="G2" s="750"/>
      <c r="H2" s="750"/>
      <c r="I2" s="750"/>
      <c r="J2" s="750"/>
      <c r="K2" s="750"/>
      <c r="L2" s="750"/>
      <c r="M2" s="750"/>
      <c r="N2" s="750"/>
      <c r="O2" s="750"/>
      <c r="P2" s="750"/>
      <c r="Q2" s="750"/>
      <c r="R2" s="750"/>
      <c r="S2" s="750"/>
      <c r="T2" s="750"/>
      <c r="U2" s="750"/>
      <c r="V2" s="751"/>
      <c r="W2" s="258"/>
      <c r="X2" s="259"/>
      <c r="Y2" s="737" t="s">
        <v>155</v>
      </c>
      <c r="Z2" s="737"/>
      <c r="AA2" s="737"/>
      <c r="AB2" s="737"/>
      <c r="AC2" s="737"/>
      <c r="AD2" s="737"/>
      <c r="AE2" s="737"/>
      <c r="AF2" s="737"/>
      <c r="AG2" s="737"/>
      <c r="AH2" s="737"/>
      <c r="AI2" s="737"/>
      <c r="AJ2" s="737"/>
      <c r="AK2" s="737"/>
      <c r="AL2" s="737"/>
      <c r="AM2" s="737"/>
      <c r="AN2" s="737"/>
      <c r="AO2" s="737"/>
      <c r="AP2" s="737"/>
      <c r="AQ2" s="737"/>
      <c r="AR2" s="737"/>
      <c r="AS2" s="737"/>
      <c r="AT2" s="738"/>
    </row>
    <row r="3" spans="2:46" ht="25.5" customHeight="1">
      <c r="B3" s="260"/>
      <c r="C3" s="185"/>
      <c r="D3" s="185"/>
      <c r="E3" s="185"/>
      <c r="F3" s="185"/>
      <c r="G3" s="185"/>
      <c r="H3" s="739" t="s">
        <v>156</v>
      </c>
      <c r="I3" s="740"/>
      <c r="J3" s="740"/>
      <c r="K3" s="740"/>
      <c r="L3" s="740"/>
      <c r="M3" s="740"/>
      <c r="N3" s="740"/>
      <c r="O3" s="741"/>
      <c r="P3" s="185"/>
      <c r="Q3" s="185"/>
      <c r="R3" s="185"/>
      <c r="S3" s="185"/>
      <c r="T3" s="185"/>
      <c r="U3" s="185"/>
      <c r="V3" s="261"/>
      <c r="W3" s="258"/>
      <c r="X3" s="260"/>
      <c r="Y3" s="627" t="s">
        <v>157</v>
      </c>
      <c r="Z3" s="733"/>
      <c r="AA3" s="733"/>
      <c r="AB3" s="733"/>
      <c r="AC3" s="733"/>
      <c r="AD3" s="733"/>
      <c r="AE3" s="733"/>
      <c r="AF3" s="733"/>
      <c r="AG3" s="733"/>
      <c r="AH3" s="733"/>
      <c r="AI3" s="733"/>
      <c r="AJ3" s="733"/>
      <c r="AK3" s="733"/>
      <c r="AL3" s="733"/>
      <c r="AM3" s="733"/>
      <c r="AN3" s="733"/>
      <c r="AO3" s="733"/>
      <c r="AP3" s="733"/>
      <c r="AQ3" s="733"/>
      <c r="AR3" s="733"/>
      <c r="AS3" s="733"/>
      <c r="AT3" s="742"/>
    </row>
    <row r="4" spans="2:46" ht="9" customHeight="1">
      <c r="B4" s="260"/>
      <c r="C4" s="185"/>
      <c r="D4" s="185"/>
      <c r="E4" s="185"/>
      <c r="F4" s="185"/>
      <c r="G4" s="185"/>
      <c r="H4" s="262"/>
      <c r="I4" s="262"/>
      <c r="J4" s="262"/>
      <c r="K4" s="262"/>
      <c r="L4" s="262"/>
      <c r="M4" s="262"/>
      <c r="N4" s="262"/>
      <c r="O4" s="262"/>
      <c r="P4" s="185"/>
      <c r="Q4" s="185"/>
      <c r="R4" s="185"/>
      <c r="S4" s="185"/>
      <c r="T4" s="185"/>
      <c r="U4" s="185"/>
      <c r="V4" s="261"/>
      <c r="W4" s="258"/>
      <c r="X4" s="260"/>
      <c r="Y4" s="185"/>
      <c r="Z4" s="185"/>
      <c r="AA4" s="185"/>
      <c r="AB4" s="185"/>
      <c r="AC4" s="185"/>
      <c r="AD4" s="185"/>
      <c r="AE4" s="185"/>
      <c r="AF4" s="185"/>
      <c r="AG4" s="185"/>
      <c r="AH4" s="185"/>
      <c r="AI4" s="185"/>
      <c r="AJ4" s="185"/>
      <c r="AK4" s="185"/>
      <c r="AL4" s="185"/>
      <c r="AM4" s="185"/>
      <c r="AN4" s="185"/>
      <c r="AO4" s="185"/>
      <c r="AP4" s="185"/>
      <c r="AQ4" s="185"/>
      <c r="AR4" s="185"/>
      <c r="AS4" s="185"/>
      <c r="AT4" s="261"/>
    </row>
    <row r="5" spans="2:46" ht="15">
      <c r="B5" s="229"/>
      <c r="C5" s="179"/>
      <c r="D5" s="179"/>
      <c r="E5" s="179"/>
      <c r="F5" s="179"/>
      <c r="G5" s="179"/>
      <c r="H5" s="179"/>
      <c r="I5" s="179"/>
      <c r="J5" s="179"/>
      <c r="K5" s="179"/>
      <c r="L5" s="179"/>
      <c r="M5" s="179"/>
      <c r="N5" s="179"/>
      <c r="O5" s="263"/>
      <c r="P5" s="732" t="s">
        <v>84</v>
      </c>
      <c r="Q5" s="732"/>
      <c r="R5" s="732"/>
      <c r="S5" s="732"/>
      <c r="T5" s="732"/>
      <c r="U5" s="743"/>
      <c r="V5" s="226"/>
      <c r="W5" s="264"/>
      <c r="X5" s="229"/>
      <c r="Y5" s="179"/>
      <c r="Z5" s="179"/>
      <c r="AA5" s="179"/>
      <c r="AB5" s="179"/>
      <c r="AC5" s="179"/>
      <c r="AD5" s="179"/>
      <c r="AE5" s="179"/>
      <c r="AF5" s="179"/>
      <c r="AG5" s="179"/>
      <c r="AH5" s="179"/>
      <c r="AI5" s="179"/>
      <c r="AJ5" s="179"/>
      <c r="AK5" s="179"/>
      <c r="AL5" s="179"/>
      <c r="AM5" s="179"/>
      <c r="AN5" s="179"/>
      <c r="AO5" s="179"/>
      <c r="AP5" s="179"/>
      <c r="AQ5" s="179"/>
      <c r="AR5" s="179"/>
      <c r="AS5" s="179"/>
      <c r="AT5" s="226"/>
    </row>
    <row r="6" spans="2:46" ht="17.25" customHeight="1">
      <c r="B6" s="229" t="s">
        <v>158</v>
      </c>
      <c r="C6" s="179" t="s">
        <v>76</v>
      </c>
      <c r="D6" s="734" t="str">
        <f>DATA!M16</f>
        <v>0913</v>
      </c>
      <c r="E6" s="735"/>
      <c r="F6" s="735"/>
      <c r="G6" s="735"/>
      <c r="H6" s="735"/>
      <c r="I6" s="736"/>
      <c r="J6" s="179"/>
      <c r="K6" s="179"/>
      <c r="L6" s="179"/>
      <c r="M6" s="179"/>
      <c r="N6" s="179"/>
      <c r="O6" s="761" t="s">
        <v>159</v>
      </c>
      <c r="P6" s="722"/>
      <c r="Q6" s="744"/>
      <c r="R6" s="744"/>
      <c r="S6" s="744"/>
      <c r="T6" s="744"/>
      <c r="U6" s="745"/>
      <c r="V6" s="226"/>
      <c r="W6" s="264"/>
      <c r="X6" s="229"/>
      <c r="Y6" s="266" t="s">
        <v>160</v>
      </c>
      <c r="Z6" s="179"/>
      <c r="AA6" s="179"/>
      <c r="AB6" s="746" t="str">
        <f>D9</f>
        <v>09130308020</v>
      </c>
      <c r="AC6" s="747"/>
      <c r="AD6" s="747"/>
      <c r="AE6" s="747"/>
      <c r="AF6" s="747"/>
      <c r="AG6" s="747"/>
      <c r="AH6" s="748"/>
      <c r="AI6" s="179"/>
      <c r="AJ6" s="179"/>
      <c r="AK6" s="266" t="s">
        <v>161</v>
      </c>
      <c r="AL6" s="179"/>
      <c r="AM6" s="179"/>
      <c r="AN6" s="179"/>
      <c r="AO6" s="179"/>
      <c r="AP6" s="762" t="str">
        <f>D6</f>
        <v>0913</v>
      </c>
      <c r="AQ6" s="763"/>
      <c r="AR6" s="763"/>
      <c r="AS6" s="764"/>
      <c r="AT6" s="226"/>
    </row>
    <row r="7" spans="2:46" ht="17.25" customHeight="1">
      <c r="B7" s="229" t="s">
        <v>162</v>
      </c>
      <c r="C7" s="179" t="s">
        <v>76</v>
      </c>
      <c r="D7" s="735" t="str">
        <f>DATA!I16</f>
        <v>STO, Pathikonda</v>
      </c>
      <c r="E7" s="735"/>
      <c r="F7" s="735"/>
      <c r="G7" s="735"/>
      <c r="H7" s="735"/>
      <c r="I7" s="735"/>
      <c r="J7" s="179"/>
      <c r="K7" s="179"/>
      <c r="L7" s="179"/>
      <c r="M7" s="179"/>
      <c r="N7" s="179"/>
      <c r="O7" s="267"/>
      <c r="P7" s="268"/>
      <c r="Q7" s="268"/>
      <c r="R7" s="268"/>
      <c r="S7" s="268"/>
      <c r="T7" s="268"/>
      <c r="U7" s="269"/>
      <c r="V7" s="226"/>
      <c r="W7" s="264"/>
      <c r="X7" s="229"/>
      <c r="Y7" s="179"/>
      <c r="Z7" s="179"/>
      <c r="AA7" s="179"/>
      <c r="AB7" s="179"/>
      <c r="AC7" s="179"/>
      <c r="AD7" s="179"/>
      <c r="AE7" s="179"/>
      <c r="AF7" s="179"/>
      <c r="AG7" s="179"/>
      <c r="AH7" s="179"/>
      <c r="AI7" s="179"/>
      <c r="AJ7" s="179"/>
      <c r="AK7" s="179"/>
      <c r="AL7" s="179"/>
      <c r="AM7" s="179"/>
      <c r="AN7" s="179"/>
      <c r="AO7" s="179"/>
      <c r="AP7" s="179"/>
      <c r="AQ7" s="179"/>
      <c r="AR7" s="179"/>
      <c r="AS7" s="179"/>
      <c r="AT7" s="226"/>
    </row>
    <row r="8" spans="2:46" ht="6" customHeight="1">
      <c r="B8" s="229"/>
      <c r="C8" s="179"/>
      <c r="D8" s="179"/>
      <c r="E8" s="179"/>
      <c r="F8" s="179"/>
      <c r="G8" s="179"/>
      <c r="H8" s="179"/>
      <c r="I8" s="179"/>
      <c r="J8" s="179"/>
      <c r="K8" s="179"/>
      <c r="L8" s="179"/>
      <c r="M8" s="179"/>
      <c r="N8" s="179"/>
      <c r="O8" s="267"/>
      <c r="P8" s="179"/>
      <c r="Q8" s="179"/>
      <c r="R8" s="179"/>
      <c r="S8" s="179"/>
      <c r="T8" s="179"/>
      <c r="U8" s="270"/>
      <c r="V8" s="226"/>
      <c r="W8" s="264"/>
      <c r="X8" s="229"/>
      <c r="Y8" s="179"/>
      <c r="Z8" s="179"/>
      <c r="AA8" s="179"/>
      <c r="AB8" s="179"/>
      <c r="AC8" s="616" t="str">
        <f>D11</f>
        <v>Mandal Education Officer</v>
      </c>
      <c r="AD8" s="616"/>
      <c r="AE8" s="616"/>
      <c r="AF8" s="616"/>
      <c r="AG8" s="616"/>
      <c r="AH8" s="616"/>
      <c r="AI8" s="616"/>
      <c r="AJ8" s="179"/>
      <c r="AK8" s="179"/>
      <c r="AL8" s="179"/>
      <c r="AM8" s="179"/>
      <c r="AN8" s="179"/>
      <c r="AO8" s="179"/>
      <c r="AP8" s="179"/>
      <c r="AQ8" s="179"/>
      <c r="AR8" s="179"/>
      <c r="AS8" s="179"/>
      <c r="AT8" s="226"/>
    </row>
    <row r="9" spans="2:46" ht="17.25" customHeight="1">
      <c r="B9" s="229" t="s">
        <v>163</v>
      </c>
      <c r="C9" s="179" t="s">
        <v>76</v>
      </c>
      <c r="D9" s="752" t="str">
        <f>DATA!D16</f>
        <v>09130308020</v>
      </c>
      <c r="E9" s="753"/>
      <c r="F9" s="753"/>
      <c r="G9" s="753"/>
      <c r="H9" s="753"/>
      <c r="I9" s="754"/>
      <c r="J9" s="179"/>
      <c r="K9" s="179"/>
      <c r="L9" s="179"/>
      <c r="M9" s="179"/>
      <c r="N9" s="179"/>
      <c r="O9" s="267" t="s">
        <v>164</v>
      </c>
      <c r="P9" s="179"/>
      <c r="Q9" s="755"/>
      <c r="R9" s="756"/>
      <c r="S9" s="756"/>
      <c r="T9" s="756"/>
      <c r="U9" s="757"/>
      <c r="V9" s="226"/>
      <c r="W9" s="264"/>
      <c r="X9" s="229"/>
      <c r="Y9" s="266" t="s">
        <v>481</v>
      </c>
      <c r="Z9" s="179"/>
      <c r="AA9" s="179"/>
      <c r="AB9" s="179"/>
      <c r="AC9" s="616"/>
      <c r="AD9" s="616"/>
      <c r="AE9" s="616"/>
      <c r="AF9" s="616"/>
      <c r="AG9" s="616"/>
      <c r="AH9" s="616"/>
      <c r="AI9" s="616"/>
      <c r="AJ9" s="271" t="s">
        <v>165</v>
      </c>
      <c r="AK9" s="179"/>
      <c r="AL9" s="179"/>
      <c r="AM9" s="179"/>
      <c r="AN9" s="179"/>
      <c r="AO9" s="724" t="str">
        <f>DATA!I16</f>
        <v>STO, Pathikonda</v>
      </c>
      <c r="AP9" s="724"/>
      <c r="AQ9" s="724"/>
      <c r="AR9" s="724"/>
      <c r="AS9" s="724"/>
      <c r="AT9" s="226"/>
    </row>
    <row r="10" spans="2:46" ht="15">
      <c r="B10" s="229"/>
      <c r="C10" s="179"/>
      <c r="D10" s="179"/>
      <c r="E10" s="179"/>
      <c r="F10" s="179"/>
      <c r="G10" s="179"/>
      <c r="H10" s="179"/>
      <c r="I10" s="179"/>
      <c r="J10" s="179"/>
      <c r="K10" s="179"/>
      <c r="L10" s="179"/>
      <c r="M10" s="179"/>
      <c r="N10" s="179"/>
      <c r="O10" s="272"/>
      <c r="P10" s="273"/>
      <c r="Q10" s="274"/>
      <c r="R10" s="274"/>
      <c r="S10" s="274"/>
      <c r="T10" s="274"/>
      <c r="U10" s="275"/>
      <c r="V10" s="226"/>
      <c r="W10" s="264"/>
      <c r="X10" s="22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226"/>
    </row>
    <row r="11" spans="2:46" ht="15">
      <c r="B11" s="758" t="s">
        <v>481</v>
      </c>
      <c r="C11" s="759"/>
      <c r="D11" s="733" t="str">
        <f>'APTC-47'!G14</f>
        <v>Mandal Education Officer</v>
      </c>
      <c r="E11" s="733"/>
      <c r="F11" s="733"/>
      <c r="G11" s="733"/>
      <c r="H11" s="733"/>
      <c r="I11" s="733"/>
      <c r="J11" s="276" t="s">
        <v>480</v>
      </c>
      <c r="K11" s="179"/>
      <c r="L11" s="179"/>
      <c r="M11" s="179"/>
      <c r="N11" s="760" t="str">
        <f>'APTC-47'!S14</f>
        <v>Mandal Development  Officer, Mandal Parishad</v>
      </c>
      <c r="O11" s="760"/>
      <c r="P11" s="760"/>
      <c r="Q11" s="760"/>
      <c r="R11" s="760"/>
      <c r="S11" s="760"/>
      <c r="T11" s="760"/>
      <c r="U11" s="277"/>
      <c r="V11" s="278"/>
      <c r="W11" s="264"/>
      <c r="X11" s="22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226"/>
    </row>
    <row r="12" spans="2:46" ht="10.5" customHeight="1">
      <c r="B12" s="229"/>
      <c r="C12" s="179"/>
      <c r="D12" s="179"/>
      <c r="E12" s="179"/>
      <c r="F12" s="179"/>
      <c r="G12" s="179"/>
      <c r="H12" s="179"/>
      <c r="I12" s="179"/>
      <c r="J12" s="179"/>
      <c r="K12" s="179"/>
      <c r="L12" s="179"/>
      <c r="M12" s="179"/>
      <c r="N12" s="760"/>
      <c r="O12" s="760"/>
      <c r="P12" s="760"/>
      <c r="Q12" s="760"/>
      <c r="R12" s="760"/>
      <c r="S12" s="760"/>
      <c r="T12" s="760"/>
      <c r="U12" s="179"/>
      <c r="V12" s="226"/>
      <c r="W12" s="264"/>
      <c r="X12" s="22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226"/>
    </row>
    <row r="13" spans="2:46" ht="15.75">
      <c r="B13" s="265" t="s">
        <v>154</v>
      </c>
      <c r="C13" s="179"/>
      <c r="D13" s="179"/>
      <c r="E13" s="179" t="s">
        <v>76</v>
      </c>
      <c r="F13" s="734" t="str">
        <f>DATA!I17</f>
        <v>0981</v>
      </c>
      <c r="G13" s="735"/>
      <c r="H13" s="735"/>
      <c r="I13" s="736"/>
      <c r="J13" s="765" t="s">
        <v>166</v>
      </c>
      <c r="K13" s="766"/>
      <c r="L13" s="766"/>
      <c r="M13" s="767" t="str">
        <f>DATA!D17</f>
        <v>State Bank of India, Pathikonda</v>
      </c>
      <c r="N13" s="767"/>
      <c r="O13" s="767"/>
      <c r="P13" s="767"/>
      <c r="Q13" s="767"/>
      <c r="R13" s="767"/>
      <c r="S13" s="767"/>
      <c r="T13" s="767"/>
      <c r="U13" s="767"/>
      <c r="V13" s="226"/>
      <c r="W13" s="264"/>
      <c r="X13" s="229"/>
      <c r="Y13" s="279" t="s">
        <v>167</v>
      </c>
      <c r="Z13" s="179"/>
      <c r="AA13" s="179"/>
      <c r="AB13" s="179"/>
      <c r="AC13" s="179"/>
      <c r="AD13" s="179"/>
      <c r="AE13" s="179"/>
      <c r="AF13" s="179"/>
      <c r="AG13" s="179"/>
      <c r="AH13" s="179"/>
      <c r="AI13" s="179"/>
      <c r="AJ13" s="179"/>
      <c r="AK13" s="179"/>
      <c r="AL13" s="179"/>
      <c r="AM13" s="179"/>
      <c r="AN13" s="179"/>
      <c r="AO13" s="179"/>
      <c r="AP13" s="179"/>
      <c r="AQ13" s="179"/>
      <c r="AR13" s="179"/>
      <c r="AS13" s="179"/>
      <c r="AT13" s="226"/>
    </row>
    <row r="14" spans="2:46" ht="15">
      <c r="B14" s="229"/>
      <c r="C14" s="179"/>
      <c r="D14" s="179"/>
      <c r="E14" s="179"/>
      <c r="F14" s="179"/>
      <c r="G14" s="179"/>
      <c r="H14" s="179"/>
      <c r="I14" s="179"/>
      <c r="J14" s="179"/>
      <c r="K14" s="179"/>
      <c r="L14" s="179"/>
      <c r="M14" s="179"/>
      <c r="N14" s="179"/>
      <c r="O14" s="179"/>
      <c r="P14" s="179"/>
      <c r="Q14" s="179"/>
      <c r="R14" s="179"/>
      <c r="S14" s="179"/>
      <c r="T14" s="179"/>
      <c r="U14" s="179"/>
      <c r="V14" s="226"/>
      <c r="W14" s="264"/>
      <c r="X14" s="229"/>
      <c r="Y14" s="266"/>
      <c r="Z14" s="179"/>
      <c r="AA14" s="179"/>
      <c r="AB14" s="179"/>
      <c r="AC14" s="179"/>
      <c r="AD14" s="179"/>
      <c r="AE14" s="179"/>
      <c r="AF14" s="179"/>
      <c r="AG14" s="179"/>
      <c r="AH14" s="179"/>
      <c r="AI14" s="179"/>
      <c r="AJ14" s="179"/>
      <c r="AK14" s="179"/>
      <c r="AL14" s="179"/>
      <c r="AM14" s="179"/>
      <c r="AN14" s="179"/>
      <c r="AO14" s="179"/>
      <c r="AP14" s="179"/>
      <c r="AQ14" s="179"/>
      <c r="AR14" s="179"/>
      <c r="AS14" s="179"/>
      <c r="AT14" s="226"/>
    </row>
    <row r="15" spans="2:46" ht="17.25" customHeight="1">
      <c r="B15" s="229" t="s">
        <v>95</v>
      </c>
      <c r="C15" s="179"/>
      <c r="D15" s="179"/>
      <c r="E15" s="179" t="s">
        <v>76</v>
      </c>
      <c r="F15" s="280">
        <f>'APTC-47'!F21</f>
        <v>2</v>
      </c>
      <c r="G15" s="280">
        <f>'APTC-47'!G21</f>
        <v>2</v>
      </c>
      <c r="H15" s="280">
        <f>'APTC-47'!H21</f>
        <v>0</v>
      </c>
      <c r="I15" s="280">
        <f>'APTC-47'!I21</f>
        <v>2</v>
      </c>
      <c r="J15" s="179"/>
      <c r="K15" s="179"/>
      <c r="L15" s="280">
        <f>'APTC-47'!F23</f>
        <v>0</v>
      </c>
      <c r="M15" s="280">
        <f>'APTC-47'!G23</f>
        <v>2</v>
      </c>
      <c r="N15" s="179"/>
      <c r="O15" s="280">
        <f>'APTC-47'!F25</f>
        <v>1</v>
      </c>
      <c r="P15" s="280">
        <f>'APTC-47'!G25</f>
        <v>9</v>
      </c>
      <c r="Q15" s="280">
        <f>'APTC-47'!H25</f>
        <v>1</v>
      </c>
      <c r="R15" s="179"/>
      <c r="S15" s="280">
        <f>'APTC-47'!F27</f>
        <v>0</v>
      </c>
      <c r="T15" s="280">
        <f>'APTC-47'!G27</f>
        <v>0</v>
      </c>
      <c r="U15" s="179"/>
      <c r="V15" s="226"/>
      <c r="W15" s="264"/>
      <c r="X15" s="229"/>
      <c r="Y15" s="279" t="s">
        <v>168</v>
      </c>
      <c r="Z15" s="179"/>
      <c r="AA15" s="179"/>
      <c r="AB15" s="179"/>
      <c r="AC15" s="179"/>
      <c r="AD15" s="179"/>
      <c r="AE15" s="179"/>
      <c r="AF15" s="179"/>
      <c r="AG15" s="179"/>
      <c r="AH15" s="179"/>
      <c r="AI15" s="179"/>
      <c r="AJ15" s="179"/>
      <c r="AK15" s="179"/>
      <c r="AL15" s="179"/>
      <c r="AM15" s="179"/>
      <c r="AN15" s="179"/>
      <c r="AO15" s="179"/>
      <c r="AP15" s="179"/>
      <c r="AQ15" s="179"/>
      <c r="AR15" s="179"/>
      <c r="AS15" s="179"/>
      <c r="AT15" s="226"/>
    </row>
    <row r="16" spans="2:46" ht="15">
      <c r="B16" s="229"/>
      <c r="C16" s="179"/>
      <c r="D16" s="179"/>
      <c r="E16" s="179"/>
      <c r="F16" s="179"/>
      <c r="G16" s="179"/>
      <c r="H16" s="179"/>
      <c r="I16" s="179"/>
      <c r="J16" s="179"/>
      <c r="K16" s="179"/>
      <c r="L16" s="179" t="s">
        <v>169</v>
      </c>
      <c r="M16" s="179"/>
      <c r="N16" s="179"/>
      <c r="O16" s="179" t="s">
        <v>170</v>
      </c>
      <c r="P16" s="179"/>
      <c r="Q16" s="179"/>
      <c r="R16" s="179"/>
      <c r="S16" s="179" t="s">
        <v>171</v>
      </c>
      <c r="T16" s="179"/>
      <c r="U16" s="179"/>
      <c r="V16" s="226"/>
      <c r="W16" s="264"/>
      <c r="X16" s="22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226"/>
    </row>
    <row r="17" spans="2:46" ht="6" customHeight="1">
      <c r="B17" s="229"/>
      <c r="C17" s="179"/>
      <c r="D17" s="179"/>
      <c r="E17" s="179"/>
      <c r="F17" s="179"/>
      <c r="G17" s="179"/>
      <c r="H17" s="179"/>
      <c r="I17" s="179"/>
      <c r="J17" s="179"/>
      <c r="K17" s="179"/>
      <c r="L17" s="179"/>
      <c r="M17" s="179"/>
      <c r="N17" s="179"/>
      <c r="O17" s="179"/>
      <c r="P17" s="179"/>
      <c r="Q17" s="179"/>
      <c r="R17" s="179"/>
      <c r="S17" s="179"/>
      <c r="T17" s="179"/>
      <c r="U17" s="179"/>
      <c r="V17" s="226"/>
      <c r="W17" s="264"/>
      <c r="X17" s="22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226"/>
    </row>
    <row r="18" spans="2:46" ht="17.25" customHeight="1">
      <c r="B18" s="281"/>
      <c r="C18" s="173"/>
      <c r="D18" s="173"/>
      <c r="E18" s="173"/>
      <c r="F18" s="661">
        <f>'APTC-47'!F29</f>
        <v>0</v>
      </c>
      <c r="G18" s="663"/>
      <c r="H18" s="661">
        <f>'APTC-47'!G29</f>
        <v>5</v>
      </c>
      <c r="I18" s="663"/>
      <c r="J18" s="173"/>
      <c r="K18" s="173"/>
      <c r="L18" s="280">
        <f>'APTC-47'!F31</f>
        <v>0</v>
      </c>
      <c r="M18" s="282">
        <f>'APTC-47'!G31</f>
        <v>1</v>
      </c>
      <c r="N18" s="661">
        <f>'APTC-47'!H31</f>
        <v>0</v>
      </c>
      <c r="O18" s="663"/>
      <c r="P18" s="173"/>
      <c r="Q18" s="280">
        <v>0</v>
      </c>
      <c r="R18" s="280">
        <v>1</v>
      </c>
      <c r="S18" s="280">
        <v>0</v>
      </c>
      <c r="T18" s="173"/>
      <c r="U18" s="173"/>
      <c r="V18" s="283"/>
      <c r="W18" s="284"/>
      <c r="X18" s="281"/>
      <c r="Y18" s="285"/>
      <c r="Z18" s="285"/>
      <c r="AA18" s="285"/>
      <c r="AB18" s="285" t="s">
        <v>172</v>
      </c>
      <c r="AC18" s="285"/>
      <c r="AD18" s="285"/>
      <c r="AE18" s="285"/>
      <c r="AF18" s="285"/>
      <c r="AG18" s="768"/>
      <c r="AH18" s="768"/>
      <c r="AI18" s="768"/>
      <c r="AJ18" s="731" t="s">
        <v>173</v>
      </c>
      <c r="AK18" s="731"/>
      <c r="AL18" s="730"/>
      <c r="AM18" s="730"/>
      <c r="AN18" s="730"/>
      <c r="AO18" s="286" t="s">
        <v>174</v>
      </c>
      <c r="AP18" s="285"/>
      <c r="AQ18" s="769">
        <f>R25</f>
        <v>954</v>
      </c>
      <c r="AR18" s="769"/>
      <c r="AS18" s="769"/>
      <c r="AT18" s="770"/>
    </row>
    <row r="19" spans="2:48" ht="15">
      <c r="B19" s="229"/>
      <c r="C19" s="179"/>
      <c r="D19" s="179"/>
      <c r="E19" s="179"/>
      <c r="F19" s="732" t="s">
        <v>175</v>
      </c>
      <c r="G19" s="732"/>
      <c r="H19" s="732"/>
      <c r="I19" s="732"/>
      <c r="J19" s="179"/>
      <c r="K19" s="179"/>
      <c r="L19" s="732" t="s">
        <v>176</v>
      </c>
      <c r="M19" s="732"/>
      <c r="N19" s="732"/>
      <c r="O19" s="732"/>
      <c r="P19" s="179"/>
      <c r="Q19" s="732" t="s">
        <v>177</v>
      </c>
      <c r="R19" s="732"/>
      <c r="S19" s="732"/>
      <c r="T19" s="179"/>
      <c r="U19" s="179"/>
      <c r="V19" s="226"/>
      <c r="W19" s="264"/>
      <c r="X19" s="229"/>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8"/>
      <c r="AV19" s="340"/>
    </row>
    <row r="20" spans="2:46" ht="15">
      <c r="B20" s="229"/>
      <c r="C20" s="179"/>
      <c r="D20" s="179"/>
      <c r="E20" s="179"/>
      <c r="F20" s="179"/>
      <c r="G20" s="179"/>
      <c r="H20" s="179"/>
      <c r="I20" s="179"/>
      <c r="J20" s="179"/>
      <c r="K20" s="179"/>
      <c r="L20" s="179"/>
      <c r="M20" s="179"/>
      <c r="N20" s="179"/>
      <c r="O20" s="179"/>
      <c r="P20" s="179"/>
      <c r="Q20" s="179"/>
      <c r="R20" s="179"/>
      <c r="S20" s="179"/>
      <c r="T20" s="179"/>
      <c r="U20" s="179"/>
      <c r="V20" s="226"/>
      <c r="W20" s="264"/>
      <c r="X20" s="229"/>
      <c r="Y20" s="287" t="s">
        <v>178</v>
      </c>
      <c r="Z20" s="287"/>
      <c r="AA20" s="287"/>
      <c r="AB20" s="287"/>
      <c r="AC20" s="724" t="str">
        <f>D27</f>
        <v>    Nine Hundred and Fifty Four rupees only  only</v>
      </c>
      <c r="AD20" s="724"/>
      <c r="AE20" s="724"/>
      <c r="AF20" s="724"/>
      <c r="AG20" s="724"/>
      <c r="AH20" s="724"/>
      <c r="AI20" s="724"/>
      <c r="AJ20" s="724"/>
      <c r="AK20" s="724"/>
      <c r="AL20" s="724"/>
      <c r="AM20" s="724"/>
      <c r="AN20" s="724"/>
      <c r="AO20" s="724"/>
      <c r="AP20" s="724"/>
      <c r="AQ20" s="724"/>
      <c r="AR20" s="724"/>
      <c r="AS20" s="724"/>
      <c r="AT20" s="289"/>
    </row>
    <row r="21" spans="2:46" ht="15">
      <c r="B21" s="290" t="s">
        <v>179</v>
      </c>
      <c r="C21" s="167" t="s">
        <v>180</v>
      </c>
      <c r="D21" s="193" t="s">
        <v>114</v>
      </c>
      <c r="E21" s="167"/>
      <c r="F21" s="167" t="s">
        <v>181</v>
      </c>
      <c r="G21" s="167"/>
      <c r="H21" s="167"/>
      <c r="I21" s="193" t="s">
        <v>116</v>
      </c>
      <c r="J21" s="167"/>
      <c r="K21" s="167"/>
      <c r="L21" s="291" t="s">
        <v>182</v>
      </c>
      <c r="M21" s="167"/>
      <c r="N21" s="167"/>
      <c r="O21" s="167"/>
      <c r="P21" s="167"/>
      <c r="Q21" s="280">
        <v>2</v>
      </c>
      <c r="R21" s="280">
        <v>2</v>
      </c>
      <c r="S21" s="280">
        <v>0</v>
      </c>
      <c r="T21" s="280">
        <v>2</v>
      </c>
      <c r="U21" s="167"/>
      <c r="V21" s="228"/>
      <c r="W21" s="160"/>
      <c r="X21" s="227"/>
      <c r="Y21" s="292"/>
      <c r="Z21" s="292"/>
      <c r="AA21" s="292"/>
      <c r="AB21" s="292"/>
      <c r="AC21" s="292"/>
      <c r="AD21" s="292"/>
      <c r="AE21" s="292"/>
      <c r="AF21" s="292"/>
      <c r="AG21" s="292"/>
      <c r="AH21" s="292"/>
      <c r="AI21" s="292"/>
      <c r="AJ21" s="292"/>
      <c r="AK21" s="292"/>
      <c r="AL21" s="292"/>
      <c r="AM21" s="292"/>
      <c r="AN21" s="292"/>
      <c r="AO21" s="292"/>
      <c r="AP21" s="292"/>
      <c r="AQ21" s="292"/>
      <c r="AR21" s="292"/>
      <c r="AS21" s="292"/>
      <c r="AT21" s="228"/>
    </row>
    <row r="22" spans="2:46" ht="15">
      <c r="B22" s="227"/>
      <c r="C22" s="167"/>
      <c r="D22" s="167"/>
      <c r="E22" s="167"/>
      <c r="F22" s="167" t="s">
        <v>183</v>
      </c>
      <c r="G22" s="167"/>
      <c r="H22" s="167"/>
      <c r="I22" s="167"/>
      <c r="J22" s="167"/>
      <c r="K22" s="167"/>
      <c r="L22" s="167" t="s">
        <v>184</v>
      </c>
      <c r="M22" s="167"/>
      <c r="N22" s="167"/>
      <c r="O22" s="167"/>
      <c r="P22" s="167"/>
      <c r="Q22" s="167"/>
      <c r="R22" s="167"/>
      <c r="S22" s="167"/>
      <c r="T22" s="167"/>
      <c r="U22" s="167"/>
      <c r="V22" s="228"/>
      <c r="W22" s="160"/>
      <c r="X22" s="227"/>
      <c r="Y22" s="292" t="s">
        <v>185</v>
      </c>
      <c r="Z22" s="292"/>
      <c r="AA22" s="292"/>
      <c r="AB22" s="729" t="str">
        <f>DATA!M17</f>
        <v>P.Prakash</v>
      </c>
      <c r="AC22" s="729"/>
      <c r="AD22" s="729"/>
      <c r="AE22" s="729"/>
      <c r="AF22" s="729"/>
      <c r="AG22" s="729"/>
      <c r="AH22" s="729"/>
      <c r="AI22" s="729"/>
      <c r="AJ22" s="729"/>
      <c r="AK22" s="729"/>
      <c r="AL22" s="729"/>
      <c r="AM22" s="729"/>
      <c r="AN22" s="729"/>
      <c r="AO22" s="729"/>
      <c r="AP22" s="729"/>
      <c r="AQ22" s="639" t="s">
        <v>186</v>
      </c>
      <c r="AR22" s="639"/>
      <c r="AS22" s="639"/>
      <c r="AT22" s="728"/>
    </row>
    <row r="23" spans="2:46" ht="6" customHeight="1">
      <c r="B23" s="229"/>
      <c r="C23" s="179"/>
      <c r="D23" s="179"/>
      <c r="E23" s="179"/>
      <c r="F23" s="179"/>
      <c r="G23" s="179"/>
      <c r="H23" s="179"/>
      <c r="I23" s="179"/>
      <c r="J23" s="179"/>
      <c r="K23" s="179"/>
      <c r="L23" s="179"/>
      <c r="M23" s="179"/>
      <c r="N23" s="179"/>
      <c r="O23" s="179"/>
      <c r="P23" s="179"/>
      <c r="Q23" s="179"/>
      <c r="R23" s="179"/>
      <c r="S23" s="179"/>
      <c r="T23" s="179"/>
      <c r="U23" s="179"/>
      <c r="V23" s="226"/>
      <c r="W23" s="264"/>
      <c r="X23" s="229"/>
      <c r="Y23" s="293"/>
      <c r="Z23" s="293"/>
      <c r="AA23" s="293"/>
      <c r="AB23" s="293"/>
      <c r="AC23" s="293"/>
      <c r="AD23" s="293"/>
      <c r="AE23" s="293"/>
      <c r="AF23" s="293"/>
      <c r="AG23" s="293"/>
      <c r="AH23" s="293"/>
      <c r="AI23" s="293"/>
      <c r="AJ23" s="293"/>
      <c r="AK23" s="293"/>
      <c r="AL23" s="293"/>
      <c r="AM23" s="293"/>
      <c r="AN23" s="293"/>
      <c r="AO23" s="293"/>
      <c r="AP23" s="293"/>
      <c r="AQ23" s="293"/>
      <c r="AR23" s="293"/>
      <c r="AS23" s="293"/>
      <c r="AT23" s="226"/>
    </row>
    <row r="24" spans="2:46" ht="15">
      <c r="B24" s="229"/>
      <c r="C24" s="179"/>
      <c r="D24" s="179"/>
      <c r="E24" s="179"/>
      <c r="F24" s="179"/>
      <c r="G24" s="179"/>
      <c r="H24" s="179"/>
      <c r="I24" s="179"/>
      <c r="J24" s="179"/>
      <c r="K24" s="179"/>
      <c r="L24" s="179"/>
      <c r="M24" s="179"/>
      <c r="N24" s="179"/>
      <c r="O24" s="179"/>
      <c r="P24" s="179"/>
      <c r="Q24" s="179"/>
      <c r="R24" s="179"/>
      <c r="S24" s="179"/>
      <c r="T24" s="179"/>
      <c r="U24" s="179"/>
      <c r="V24" s="226"/>
      <c r="W24" s="264"/>
      <c r="X24" s="229"/>
      <c r="Y24" s="293" t="s">
        <v>187</v>
      </c>
      <c r="Z24" s="293"/>
      <c r="AA24" s="729" t="str">
        <f>N11</f>
        <v>Mandal Development  Officer, Mandal Parishad</v>
      </c>
      <c r="AB24" s="729"/>
      <c r="AC24" s="729"/>
      <c r="AD24" s="729"/>
      <c r="AE24" s="729"/>
      <c r="AF24" s="729"/>
      <c r="AG24" s="729"/>
      <c r="AH24" s="729"/>
      <c r="AI24" s="729"/>
      <c r="AJ24" s="729"/>
      <c r="AK24" s="729"/>
      <c r="AL24" s="729"/>
      <c r="AM24" s="729"/>
      <c r="AN24" s="729"/>
      <c r="AO24" s="729"/>
      <c r="AP24" s="293" t="s">
        <v>188</v>
      </c>
      <c r="AQ24" s="179"/>
      <c r="AR24" s="179"/>
      <c r="AS24" s="293"/>
      <c r="AT24" s="226"/>
    </row>
    <row r="25" spans="2:46" ht="15">
      <c r="B25" s="229" t="s">
        <v>189</v>
      </c>
      <c r="C25" s="725">
        <f>'APTC-47'!I48</f>
        <v>954</v>
      </c>
      <c r="D25" s="725"/>
      <c r="E25" s="725"/>
      <c r="F25" s="725"/>
      <c r="G25" s="725"/>
      <c r="H25" s="722" t="s">
        <v>190</v>
      </c>
      <c r="I25" s="722"/>
      <c r="J25" s="722"/>
      <c r="K25" s="722"/>
      <c r="L25" s="726">
        <f>'APTC-47'!I49</f>
        <v>0</v>
      </c>
      <c r="M25" s="725"/>
      <c r="N25" s="725"/>
      <c r="O25" s="725"/>
      <c r="P25" s="722" t="s">
        <v>191</v>
      </c>
      <c r="Q25" s="722"/>
      <c r="R25" s="725">
        <f>'APTC-47'!I50</f>
        <v>954</v>
      </c>
      <c r="S25" s="725"/>
      <c r="T25" s="725"/>
      <c r="U25" s="725"/>
      <c r="V25" s="226"/>
      <c r="W25" s="264"/>
      <c r="X25" s="229"/>
      <c r="Y25" s="293"/>
      <c r="Z25" s="293"/>
      <c r="AA25" s="293"/>
      <c r="AB25" s="293"/>
      <c r="AC25" s="293"/>
      <c r="AD25" s="293"/>
      <c r="AE25" s="293"/>
      <c r="AF25" s="293"/>
      <c r="AG25" s="293"/>
      <c r="AH25" s="293"/>
      <c r="AI25" s="293"/>
      <c r="AJ25" s="293"/>
      <c r="AK25" s="293"/>
      <c r="AL25" s="293"/>
      <c r="AM25" s="293"/>
      <c r="AN25" s="293"/>
      <c r="AO25" s="293"/>
      <c r="AP25" s="293"/>
      <c r="AQ25" s="293"/>
      <c r="AR25" s="293"/>
      <c r="AS25" s="293"/>
      <c r="AT25" s="226"/>
    </row>
    <row r="26" spans="2:46" ht="15">
      <c r="B26" s="229"/>
      <c r="C26" s="179"/>
      <c r="D26" s="179"/>
      <c r="E26" s="179"/>
      <c r="F26" s="179"/>
      <c r="G26" s="179"/>
      <c r="H26" s="179"/>
      <c r="I26" s="179"/>
      <c r="J26" s="179"/>
      <c r="K26" s="179"/>
      <c r="L26" s="179"/>
      <c r="M26" s="179"/>
      <c r="N26" s="179"/>
      <c r="O26" s="179"/>
      <c r="P26" s="179"/>
      <c r="Q26" s="179"/>
      <c r="R26" s="179"/>
      <c r="S26" s="179"/>
      <c r="T26" s="179"/>
      <c r="U26" s="179"/>
      <c r="V26" s="226"/>
      <c r="W26" s="264"/>
      <c r="X26" s="229"/>
      <c r="Y26" s="293" t="s">
        <v>192</v>
      </c>
      <c r="Z26" s="293"/>
      <c r="AA26" s="293"/>
      <c r="AB26" s="293"/>
      <c r="AC26" s="293"/>
      <c r="AD26" s="293"/>
      <c r="AE26" s="293"/>
      <c r="AF26" s="293"/>
      <c r="AG26" s="293"/>
      <c r="AH26" s="293"/>
      <c r="AI26" s="293"/>
      <c r="AJ26" s="293"/>
      <c r="AK26" s="293"/>
      <c r="AL26" s="293"/>
      <c r="AM26" s="293"/>
      <c r="AN26" s="293"/>
      <c r="AO26" s="293"/>
      <c r="AP26" s="293"/>
      <c r="AQ26" s="293"/>
      <c r="AR26" s="293"/>
      <c r="AS26" s="293"/>
      <c r="AT26" s="226"/>
    </row>
    <row r="27" spans="2:46" ht="15">
      <c r="B27" s="229" t="s">
        <v>193</v>
      </c>
      <c r="C27" s="179"/>
      <c r="D27" s="724" t="str">
        <f>'APTC-47'!C52</f>
        <v>    Nine Hundred and Fifty Four rupees only  only</v>
      </c>
      <c r="E27" s="724"/>
      <c r="F27" s="724"/>
      <c r="G27" s="724"/>
      <c r="H27" s="724"/>
      <c r="I27" s="724"/>
      <c r="J27" s="724"/>
      <c r="K27" s="724"/>
      <c r="L27" s="724"/>
      <c r="M27" s="724"/>
      <c r="N27" s="724"/>
      <c r="O27" s="724"/>
      <c r="P27" s="724"/>
      <c r="Q27" s="724"/>
      <c r="R27" s="724"/>
      <c r="S27" s="724"/>
      <c r="T27" s="724"/>
      <c r="U27" s="294"/>
      <c r="V27" s="226"/>
      <c r="W27" s="264"/>
      <c r="X27" s="229"/>
      <c r="Y27" s="293"/>
      <c r="Z27" s="293"/>
      <c r="AA27" s="293"/>
      <c r="AB27" s="293"/>
      <c r="AC27" s="293"/>
      <c r="AD27" s="293"/>
      <c r="AE27" s="293"/>
      <c r="AF27" s="293"/>
      <c r="AG27" s="293"/>
      <c r="AH27" s="293"/>
      <c r="AI27" s="293"/>
      <c r="AJ27" s="293"/>
      <c r="AK27" s="293"/>
      <c r="AL27" s="293"/>
      <c r="AM27" s="293"/>
      <c r="AN27" s="293"/>
      <c r="AO27" s="293"/>
      <c r="AP27" s="293"/>
      <c r="AQ27" s="293"/>
      <c r="AR27" s="293"/>
      <c r="AS27" s="293"/>
      <c r="AT27" s="226"/>
    </row>
    <row r="28" spans="2:46" ht="8.25" customHeight="1">
      <c r="B28" s="229"/>
      <c r="C28" s="179"/>
      <c r="D28" s="179"/>
      <c r="E28" s="179"/>
      <c r="F28" s="179"/>
      <c r="G28" s="179"/>
      <c r="H28" s="179"/>
      <c r="I28" s="179"/>
      <c r="J28" s="179"/>
      <c r="K28" s="179"/>
      <c r="L28" s="179"/>
      <c r="M28" s="179"/>
      <c r="N28" s="179"/>
      <c r="O28" s="179"/>
      <c r="P28" s="179"/>
      <c r="Q28" s="179"/>
      <c r="R28" s="179"/>
      <c r="S28" s="179"/>
      <c r="T28" s="179"/>
      <c r="U28" s="179"/>
      <c r="V28" s="226"/>
      <c r="W28" s="264"/>
      <c r="X28" s="229"/>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26"/>
    </row>
    <row r="29" spans="2:46" ht="15">
      <c r="B29" s="229" t="s">
        <v>194</v>
      </c>
      <c r="C29" s="179"/>
      <c r="D29" s="179"/>
      <c r="E29" s="179" t="s">
        <v>76</v>
      </c>
      <c r="F29" s="727" t="str">
        <f>DATA!M17</f>
        <v>P.Prakash</v>
      </c>
      <c r="G29" s="727"/>
      <c r="H29" s="727"/>
      <c r="I29" s="727"/>
      <c r="J29" s="727"/>
      <c r="K29" s="179"/>
      <c r="L29" s="722" t="s">
        <v>195</v>
      </c>
      <c r="M29" s="722"/>
      <c r="N29" s="722"/>
      <c r="O29" s="722"/>
      <c r="P29" s="727"/>
      <c r="Q29" s="727"/>
      <c r="R29" s="727"/>
      <c r="S29" s="727"/>
      <c r="T29" s="727"/>
      <c r="U29" s="179"/>
      <c r="V29" s="226"/>
      <c r="W29" s="264"/>
      <c r="X29" s="22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226"/>
    </row>
    <row r="30" spans="2:46" ht="15">
      <c r="B30" s="229" t="s">
        <v>196</v>
      </c>
      <c r="C30" s="179"/>
      <c r="D30" s="179"/>
      <c r="E30" s="179"/>
      <c r="F30" s="179"/>
      <c r="G30" s="179"/>
      <c r="H30" s="179"/>
      <c r="I30" s="179"/>
      <c r="J30" s="179"/>
      <c r="K30" s="179"/>
      <c r="L30" s="179"/>
      <c r="M30" s="179"/>
      <c r="N30" s="179"/>
      <c r="O30" s="179"/>
      <c r="P30" s="179"/>
      <c r="Q30" s="179"/>
      <c r="R30" s="179"/>
      <c r="S30" s="179"/>
      <c r="T30" s="179"/>
      <c r="U30" s="179"/>
      <c r="V30" s="226"/>
      <c r="W30" s="264"/>
      <c r="X30" s="22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226"/>
    </row>
    <row r="31" spans="2:46" ht="15">
      <c r="B31" s="229"/>
      <c r="C31" s="179"/>
      <c r="D31" s="179"/>
      <c r="E31" s="179"/>
      <c r="F31" s="179"/>
      <c r="G31" s="179"/>
      <c r="H31" s="179"/>
      <c r="I31" s="179"/>
      <c r="J31" s="179"/>
      <c r="K31" s="179"/>
      <c r="L31" s="179"/>
      <c r="M31" s="179"/>
      <c r="N31" s="179"/>
      <c r="O31" s="179"/>
      <c r="P31" s="179"/>
      <c r="Q31" s="179"/>
      <c r="R31" s="179"/>
      <c r="S31" s="179"/>
      <c r="T31" s="179"/>
      <c r="U31" s="179"/>
      <c r="V31" s="226"/>
      <c r="W31" s="264"/>
      <c r="X31" s="229"/>
      <c r="Y31" s="179" t="s">
        <v>197</v>
      </c>
      <c r="Z31" s="179"/>
      <c r="AA31" s="179"/>
      <c r="AB31" s="179"/>
      <c r="AC31" s="179"/>
      <c r="AD31" s="179"/>
      <c r="AE31" s="179"/>
      <c r="AF31" s="179"/>
      <c r="AG31" s="179"/>
      <c r="AH31" s="179"/>
      <c r="AI31" s="179"/>
      <c r="AJ31" s="179"/>
      <c r="AK31" s="179"/>
      <c r="AL31" s="179"/>
      <c r="AM31" s="179"/>
      <c r="AN31" s="179" t="s">
        <v>198</v>
      </c>
      <c r="AO31" s="179"/>
      <c r="AP31" s="179"/>
      <c r="AQ31" s="179"/>
      <c r="AR31" s="179"/>
      <c r="AS31" s="179"/>
      <c r="AT31" s="226"/>
    </row>
    <row r="32" spans="2:46" ht="15">
      <c r="B32" s="229"/>
      <c r="C32" s="179"/>
      <c r="D32" s="179"/>
      <c r="E32" s="179"/>
      <c r="F32" s="179"/>
      <c r="G32" s="179"/>
      <c r="H32" s="179"/>
      <c r="I32" s="179"/>
      <c r="J32" s="179"/>
      <c r="K32" s="179"/>
      <c r="L32" s="179"/>
      <c r="M32" s="179"/>
      <c r="N32" s="179"/>
      <c r="O32" s="179"/>
      <c r="P32" s="179"/>
      <c r="Q32" s="179"/>
      <c r="R32" s="179"/>
      <c r="S32" s="179"/>
      <c r="T32" s="179"/>
      <c r="U32" s="179"/>
      <c r="V32" s="226"/>
      <c r="W32" s="264"/>
      <c r="X32" s="22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226"/>
    </row>
    <row r="33" spans="2:46" ht="15">
      <c r="B33" s="229" t="s">
        <v>199</v>
      </c>
      <c r="C33" s="179"/>
      <c r="D33" s="179"/>
      <c r="E33" s="179"/>
      <c r="F33" s="179"/>
      <c r="G33" s="179"/>
      <c r="H33" s="179"/>
      <c r="I33" s="179" t="s">
        <v>82</v>
      </c>
      <c r="J33" s="295"/>
      <c r="K33" s="295"/>
      <c r="L33" s="295"/>
      <c r="M33" s="295"/>
      <c r="N33" s="295"/>
      <c r="O33" s="295"/>
      <c r="P33" s="295"/>
      <c r="Q33" s="296"/>
      <c r="R33" s="296"/>
      <c r="S33" s="296"/>
      <c r="T33" s="296"/>
      <c r="U33" s="179"/>
      <c r="V33" s="226"/>
      <c r="W33" s="264"/>
      <c r="X33" s="229"/>
      <c r="Y33" s="179" t="s">
        <v>153</v>
      </c>
      <c r="Z33" s="179"/>
      <c r="AA33" s="179"/>
      <c r="AB33" s="179"/>
      <c r="AC33" s="179"/>
      <c r="AD33" s="179"/>
      <c r="AE33" s="179"/>
      <c r="AF33" s="179"/>
      <c r="AG33" s="179"/>
      <c r="AH33" s="179"/>
      <c r="AI33" s="179"/>
      <c r="AJ33" s="179"/>
      <c r="AK33" s="179"/>
      <c r="AL33" s="179"/>
      <c r="AM33" s="179"/>
      <c r="AN33" s="179"/>
      <c r="AO33" s="179"/>
      <c r="AP33" s="179" t="s">
        <v>200</v>
      </c>
      <c r="AQ33" s="179"/>
      <c r="AR33" s="179"/>
      <c r="AS33" s="179"/>
      <c r="AT33" s="226"/>
    </row>
    <row r="34" spans="2:46" ht="15">
      <c r="B34" s="229"/>
      <c r="C34" s="179"/>
      <c r="D34" s="179"/>
      <c r="E34" s="179"/>
      <c r="F34" s="179"/>
      <c r="G34" s="179"/>
      <c r="H34" s="179"/>
      <c r="I34" s="179"/>
      <c r="J34" s="179"/>
      <c r="K34" s="179">
        <v>2728</v>
      </c>
      <c r="L34" s="179"/>
      <c r="M34" s="179"/>
      <c r="N34" s="179"/>
      <c r="O34" s="179"/>
      <c r="P34" s="179"/>
      <c r="Q34" s="179"/>
      <c r="R34" s="179"/>
      <c r="S34" s="179"/>
      <c r="T34" s="179"/>
      <c r="U34" s="179"/>
      <c r="V34" s="226"/>
      <c r="W34" s="264"/>
      <c r="X34" s="22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226"/>
    </row>
    <row r="35" spans="2:46" ht="15">
      <c r="B35" s="229"/>
      <c r="C35" s="179"/>
      <c r="D35" s="179"/>
      <c r="E35" s="179"/>
      <c r="F35" s="179"/>
      <c r="G35" s="179"/>
      <c r="H35" s="179"/>
      <c r="I35" s="179" t="s">
        <v>83</v>
      </c>
      <c r="J35" s="295"/>
      <c r="K35" s="295"/>
      <c r="L35" s="295"/>
      <c r="M35" s="295"/>
      <c r="N35" s="295"/>
      <c r="O35" s="295"/>
      <c r="P35" s="295"/>
      <c r="Q35" s="296"/>
      <c r="R35" s="296"/>
      <c r="S35" s="296"/>
      <c r="T35" s="296"/>
      <c r="U35" s="179"/>
      <c r="V35" s="226"/>
      <c r="W35" s="264"/>
      <c r="X35" s="229"/>
      <c r="Y35" s="179"/>
      <c r="Z35" s="179"/>
      <c r="AA35" s="179" t="s">
        <v>201</v>
      </c>
      <c r="AB35" s="179"/>
      <c r="AC35" s="179"/>
      <c r="AD35" s="179"/>
      <c r="AE35" s="179"/>
      <c r="AF35" s="179"/>
      <c r="AG35" s="179"/>
      <c r="AH35" s="179"/>
      <c r="AI35" s="179"/>
      <c r="AJ35" s="179"/>
      <c r="AK35" s="179"/>
      <c r="AL35" s="179"/>
      <c r="AM35" s="179"/>
      <c r="AN35" s="179"/>
      <c r="AO35" s="179"/>
      <c r="AP35" s="179"/>
      <c r="AQ35" s="179"/>
      <c r="AR35" s="179"/>
      <c r="AS35" s="179"/>
      <c r="AT35" s="226"/>
    </row>
    <row r="36" spans="2:46" ht="15">
      <c r="B36" s="229"/>
      <c r="C36" s="179"/>
      <c r="D36" s="179"/>
      <c r="E36" s="179"/>
      <c r="F36" s="179"/>
      <c r="G36" s="179"/>
      <c r="H36" s="179"/>
      <c r="I36" s="179"/>
      <c r="J36" s="297"/>
      <c r="K36" s="297">
        <v>479</v>
      </c>
      <c r="L36" s="297"/>
      <c r="M36" s="297"/>
      <c r="N36" s="297"/>
      <c r="O36" s="297"/>
      <c r="P36" s="297"/>
      <c r="Q36" s="297"/>
      <c r="R36" s="297"/>
      <c r="S36" s="297"/>
      <c r="T36" s="297"/>
      <c r="U36" s="179"/>
      <c r="V36" s="226"/>
      <c r="W36" s="264"/>
      <c r="X36" s="22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226"/>
    </row>
    <row r="37" spans="2:46" ht="15">
      <c r="B37" s="229"/>
      <c r="C37" s="179"/>
      <c r="D37" s="179"/>
      <c r="E37" s="179"/>
      <c r="F37" s="179"/>
      <c r="G37" s="179"/>
      <c r="H37" s="179"/>
      <c r="I37" s="179"/>
      <c r="J37" s="179"/>
      <c r="K37" s="179"/>
      <c r="L37" s="179"/>
      <c r="M37" s="179"/>
      <c r="N37" s="179"/>
      <c r="O37" s="179"/>
      <c r="P37" s="179"/>
      <c r="Q37" s="179"/>
      <c r="R37" s="179"/>
      <c r="S37" s="179"/>
      <c r="T37" s="179"/>
      <c r="U37" s="179"/>
      <c r="V37" s="226"/>
      <c r="W37" s="264"/>
      <c r="X37" s="229"/>
      <c r="Y37" s="179"/>
      <c r="Z37" s="179" t="s">
        <v>202</v>
      </c>
      <c r="AA37" s="179"/>
      <c r="AB37" s="179"/>
      <c r="AC37" s="179"/>
      <c r="AD37" s="179"/>
      <c r="AE37" s="179"/>
      <c r="AF37" s="179"/>
      <c r="AG37" s="179"/>
      <c r="AH37" s="179"/>
      <c r="AI37" s="179"/>
      <c r="AJ37" s="179"/>
      <c r="AK37" s="179"/>
      <c r="AL37" s="179"/>
      <c r="AM37" s="179"/>
      <c r="AN37" s="179" t="s">
        <v>203</v>
      </c>
      <c r="AO37" s="179"/>
      <c r="AP37" s="179"/>
      <c r="AQ37" s="179"/>
      <c r="AR37" s="179"/>
      <c r="AS37" s="179"/>
      <c r="AT37" s="226"/>
    </row>
    <row r="38" spans="2:46" ht="15">
      <c r="B38" s="229" t="s">
        <v>81</v>
      </c>
      <c r="C38" s="179"/>
      <c r="D38" s="179"/>
      <c r="E38" s="179"/>
      <c r="F38" s="179"/>
      <c r="G38" s="179"/>
      <c r="H38" s="179"/>
      <c r="I38" s="179"/>
      <c r="J38" s="179" t="s">
        <v>201</v>
      </c>
      <c r="K38" s="179"/>
      <c r="L38" s="179"/>
      <c r="M38" s="179"/>
      <c r="N38" s="179"/>
      <c r="O38" s="179"/>
      <c r="P38" s="179"/>
      <c r="Q38" s="179" t="s">
        <v>204</v>
      </c>
      <c r="R38" s="179"/>
      <c r="S38" s="179"/>
      <c r="T38" s="179"/>
      <c r="U38" s="179"/>
      <c r="V38" s="226"/>
      <c r="W38" s="264"/>
      <c r="X38" s="229"/>
      <c r="Y38" s="179"/>
      <c r="Z38" s="179"/>
      <c r="AA38" s="179"/>
      <c r="AB38" s="179"/>
      <c r="AC38" s="179"/>
      <c r="AD38" s="179"/>
      <c r="AE38" s="179"/>
      <c r="AF38" s="179"/>
      <c r="AG38" s="179"/>
      <c r="AH38" s="179"/>
      <c r="AI38" s="179"/>
      <c r="AJ38" s="179"/>
      <c r="AK38" s="179"/>
      <c r="AL38" s="722" t="s">
        <v>205</v>
      </c>
      <c r="AM38" s="722"/>
      <c r="AN38" s="722"/>
      <c r="AO38" s="722"/>
      <c r="AP38" s="722"/>
      <c r="AQ38" s="722"/>
      <c r="AR38" s="722"/>
      <c r="AS38" s="722"/>
      <c r="AT38" s="723"/>
    </row>
    <row r="39" spans="2:46" ht="15">
      <c r="B39" s="229"/>
      <c r="C39" s="179"/>
      <c r="D39" s="179"/>
      <c r="E39" s="179"/>
      <c r="F39" s="179"/>
      <c r="G39" s="179"/>
      <c r="H39" s="179"/>
      <c r="I39" s="179"/>
      <c r="J39" s="179"/>
      <c r="K39" s="179"/>
      <c r="L39" s="179"/>
      <c r="M39" s="179"/>
      <c r="N39" s="179"/>
      <c r="O39" s="179"/>
      <c r="P39" s="179"/>
      <c r="Q39" s="179"/>
      <c r="R39" s="179"/>
      <c r="S39" s="179"/>
      <c r="T39" s="179"/>
      <c r="U39" s="179"/>
      <c r="V39" s="226"/>
      <c r="W39" s="264"/>
      <c r="X39" s="22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226"/>
    </row>
    <row r="40" spans="2:46" ht="15">
      <c r="B40" s="229"/>
      <c r="C40" s="179"/>
      <c r="D40" s="179"/>
      <c r="E40" s="179"/>
      <c r="F40" s="179"/>
      <c r="G40" s="179"/>
      <c r="H40" s="179"/>
      <c r="I40" s="179"/>
      <c r="J40" s="179"/>
      <c r="K40" s="179"/>
      <c r="L40" s="179"/>
      <c r="M40" s="179"/>
      <c r="N40" s="179"/>
      <c r="O40" s="179"/>
      <c r="P40" s="179"/>
      <c r="Q40" s="179"/>
      <c r="R40" s="179"/>
      <c r="S40" s="179"/>
      <c r="T40" s="179"/>
      <c r="U40" s="179"/>
      <c r="V40" s="226"/>
      <c r="W40" s="264"/>
      <c r="X40" s="22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226"/>
    </row>
    <row r="41" spans="2:46" ht="15">
      <c r="B41" s="229"/>
      <c r="C41" s="179"/>
      <c r="D41" s="179"/>
      <c r="E41" s="179"/>
      <c r="F41" s="179"/>
      <c r="G41" s="179"/>
      <c r="H41" s="179"/>
      <c r="I41" s="179"/>
      <c r="J41" s="179"/>
      <c r="K41" s="179"/>
      <c r="L41" s="179"/>
      <c r="M41" s="179"/>
      <c r="N41" s="179"/>
      <c r="O41" s="179"/>
      <c r="P41" s="179"/>
      <c r="Q41" s="179"/>
      <c r="R41" s="179"/>
      <c r="S41" s="179"/>
      <c r="T41" s="179"/>
      <c r="U41" s="179"/>
      <c r="V41" s="226"/>
      <c r="W41" s="264"/>
      <c r="X41" s="22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226"/>
    </row>
    <row r="42" spans="2:46" ht="15">
      <c r="B42" s="229"/>
      <c r="C42" s="179"/>
      <c r="D42" s="179"/>
      <c r="E42" s="179"/>
      <c r="F42" s="179"/>
      <c r="G42" s="179"/>
      <c r="H42" s="179"/>
      <c r="I42" s="179"/>
      <c r="J42" s="179" t="s">
        <v>81</v>
      </c>
      <c r="K42" s="179"/>
      <c r="L42" s="179"/>
      <c r="M42" s="179"/>
      <c r="N42" s="179"/>
      <c r="O42" s="179"/>
      <c r="P42" s="179"/>
      <c r="Q42" s="179"/>
      <c r="R42" s="179"/>
      <c r="S42" s="179"/>
      <c r="T42" s="179"/>
      <c r="U42" s="179"/>
      <c r="V42" s="226"/>
      <c r="W42" s="264"/>
      <c r="X42" s="22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226"/>
    </row>
    <row r="43" spans="2:46" ht="15">
      <c r="B43" s="229"/>
      <c r="C43" s="298"/>
      <c r="D43" s="179"/>
      <c r="E43" s="179"/>
      <c r="F43" s="179"/>
      <c r="G43" s="179"/>
      <c r="H43" s="179"/>
      <c r="I43" s="179"/>
      <c r="J43" s="179"/>
      <c r="K43" s="179"/>
      <c r="L43" s="179"/>
      <c r="M43" s="179"/>
      <c r="N43" s="179"/>
      <c r="O43" s="179"/>
      <c r="P43" s="179"/>
      <c r="Q43" s="179"/>
      <c r="R43" s="179"/>
      <c r="S43" s="179"/>
      <c r="T43" s="179"/>
      <c r="U43" s="179"/>
      <c r="V43" s="226"/>
      <c r="W43" s="264"/>
      <c r="X43" s="22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226"/>
    </row>
    <row r="44" spans="2:46" ht="15.75" thickBot="1">
      <c r="B44" s="230"/>
      <c r="C44" s="231"/>
      <c r="D44" s="231"/>
      <c r="E44" s="231"/>
      <c r="F44" s="231"/>
      <c r="G44" s="231"/>
      <c r="H44" s="231"/>
      <c r="I44" s="231"/>
      <c r="J44" s="231"/>
      <c r="K44" s="231"/>
      <c r="L44" s="231"/>
      <c r="M44" s="231"/>
      <c r="N44" s="231"/>
      <c r="O44" s="231"/>
      <c r="P44" s="231"/>
      <c r="Q44" s="231"/>
      <c r="R44" s="231"/>
      <c r="S44" s="231"/>
      <c r="T44" s="231"/>
      <c r="U44" s="231"/>
      <c r="V44" s="232"/>
      <c r="W44" s="264"/>
      <c r="X44" s="230"/>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2"/>
    </row>
    <row r="45" spans="2:46" s="339" customFormat="1" ht="15.75" thickTop="1">
      <c r="B45" s="341"/>
      <c r="C45" s="341"/>
      <c r="D45" s="341"/>
      <c r="E45" s="341"/>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1"/>
      <c r="AE45" s="341"/>
      <c r="AF45" s="341"/>
      <c r="AG45" s="341"/>
      <c r="AH45" s="341"/>
      <c r="AI45" s="341"/>
      <c r="AJ45" s="341"/>
      <c r="AK45" s="341"/>
      <c r="AL45" s="341"/>
      <c r="AM45" s="341"/>
      <c r="AN45" s="341"/>
      <c r="AO45" s="341"/>
      <c r="AP45" s="341"/>
      <c r="AQ45" s="341"/>
      <c r="AR45" s="341"/>
      <c r="AS45" s="341"/>
      <c r="AT45" s="341"/>
    </row>
    <row r="46" s="339" customFormat="1" ht="15"/>
    <row r="47" s="339" customFormat="1" ht="15"/>
    <row r="48" s="339" customFormat="1" ht="15"/>
    <row r="49" s="339" customFormat="1" ht="15"/>
    <row r="50" s="339" customFormat="1" ht="15"/>
    <row r="51" s="339" customFormat="1" ht="15"/>
    <row r="52" s="339" customFormat="1" ht="15"/>
    <row r="53" s="339" customFormat="1" ht="15"/>
    <row r="54" s="339" customFormat="1" ht="15"/>
    <row r="55" s="339" customFormat="1" ht="15"/>
    <row r="56" s="339" customFormat="1" ht="15"/>
    <row r="57" s="339" customFormat="1" ht="15"/>
    <row r="58" s="339" customFormat="1" ht="15"/>
    <row r="59" s="339" customFormat="1" ht="15"/>
    <row r="60" s="339" customFormat="1" ht="15"/>
    <row r="61" s="339" customFormat="1" ht="15"/>
    <row r="62" s="339" customFormat="1" ht="15"/>
    <row r="63" s="339" customFormat="1" ht="15"/>
    <row r="64" s="339" customFormat="1" ht="15"/>
    <row r="65" s="339" customFormat="1" ht="15"/>
    <row r="66" s="339" customFormat="1" ht="15"/>
    <row r="67" s="339" customFormat="1" ht="15"/>
    <row r="68" s="339" customFormat="1" ht="15"/>
    <row r="69" s="339" customFormat="1" ht="15"/>
    <row r="70" s="339" customFormat="1" ht="15"/>
    <row r="71" s="339" customFormat="1" ht="15"/>
    <row r="72" s="339" customFormat="1" ht="15"/>
    <row r="73" s="339" customFormat="1" ht="15"/>
    <row r="74" s="339" customFormat="1" ht="15"/>
    <row r="75" s="339" customFormat="1" ht="15"/>
    <row r="76" s="339" customFormat="1" ht="15"/>
    <row r="77" s="339" customFormat="1" ht="15"/>
    <row r="78" s="339" customFormat="1" ht="15"/>
    <row r="79" s="339" customFormat="1" ht="15"/>
    <row r="80" s="339" customFormat="1" ht="15"/>
    <row r="81" s="339" customFormat="1" ht="15"/>
    <row r="82" s="339" customFormat="1" ht="15"/>
    <row r="83" s="339" customFormat="1" ht="15"/>
    <row r="84" s="339" customFormat="1" ht="15"/>
    <row r="85" s="339" customFormat="1" ht="15"/>
    <row r="86" s="339" customFormat="1" ht="15"/>
    <row r="87" s="339" customFormat="1" ht="15"/>
    <row r="88" s="339" customFormat="1" ht="15"/>
    <row r="89" s="339" customFormat="1" ht="15"/>
    <row r="90" s="339" customFormat="1" ht="15"/>
    <row r="91" s="339" customFormat="1" ht="15"/>
    <row r="92" s="339" customFormat="1" ht="15"/>
    <row r="93" s="339" customFormat="1" ht="15"/>
    <row r="94" s="339" customFormat="1" ht="15"/>
    <row r="95" s="339" customFormat="1" ht="15"/>
    <row r="96" s="339" customFormat="1" ht="15"/>
    <row r="97" s="339" customFormat="1" ht="15"/>
    <row r="98" s="339" customFormat="1" ht="15"/>
    <row r="99" s="339" customFormat="1" ht="15"/>
    <row r="100" s="339" customFormat="1" ht="15"/>
    <row r="101" s="339" customFormat="1" ht="15"/>
    <row r="102" s="339" customFormat="1" ht="15"/>
    <row r="103" s="339" customFormat="1" ht="15"/>
    <row r="104" s="339" customFormat="1" ht="15"/>
    <row r="105" s="339" customFormat="1" ht="15"/>
    <row r="106" s="339" customFormat="1" ht="15"/>
    <row r="107" s="339" customFormat="1" ht="15"/>
    <row r="108" s="339" customFormat="1" ht="15"/>
    <row r="109" s="339" customFormat="1" ht="15"/>
    <row r="110" s="339" customFormat="1" ht="15"/>
    <row r="111" s="339" customFormat="1" ht="15"/>
    <row r="112" s="339" customFormat="1" ht="15"/>
    <row r="113" s="339" customFormat="1" ht="15"/>
    <row r="114" s="339" customFormat="1" ht="15"/>
    <row r="115" s="339" customFormat="1" ht="15"/>
    <row r="116" s="339" customFormat="1" ht="15"/>
    <row r="117" s="339" customFormat="1" ht="15"/>
    <row r="118" s="339" customFormat="1" ht="15"/>
    <row r="119" s="339" customFormat="1" ht="15"/>
    <row r="120" s="339" customFormat="1" ht="15"/>
    <row r="121" s="339" customFormat="1" ht="15"/>
    <row r="122" s="339" customFormat="1" ht="15"/>
    <row r="123" s="339" customFormat="1" ht="15"/>
    <row r="124" s="339" customFormat="1" ht="15"/>
    <row r="125" s="339" customFormat="1" ht="15"/>
    <row r="126" s="339" customFormat="1" ht="15"/>
    <row r="127" s="339" customFormat="1" ht="15"/>
    <row r="128" s="339" customFormat="1" ht="15"/>
    <row r="129" s="339" customFormat="1" ht="15"/>
    <row r="130" s="339" customFormat="1" ht="15"/>
    <row r="131" s="339" customFormat="1" ht="15"/>
    <row r="132" s="339" customFormat="1" ht="15"/>
    <row r="133" s="339" customFormat="1" ht="15"/>
    <row r="134" s="339" customFormat="1" ht="15"/>
    <row r="135" s="339" customFormat="1" ht="15"/>
    <row r="136" s="339" customFormat="1" ht="15"/>
    <row r="137" s="339" customFormat="1" ht="15"/>
    <row r="138" s="339" customFormat="1" ht="15"/>
    <row r="139" s="339" customFormat="1" ht="15"/>
    <row r="140" s="339" customFormat="1" ht="15"/>
    <row r="141" s="339" customFormat="1" ht="15"/>
    <row r="142" s="339" customFormat="1" ht="15"/>
    <row r="143" s="339" customFormat="1" ht="15"/>
    <row r="144" s="339" customFormat="1" ht="15"/>
    <row r="145" s="339" customFormat="1" ht="15"/>
    <row r="146" s="339" customFormat="1" ht="15"/>
    <row r="147" s="339" customFormat="1" ht="15"/>
    <row r="148" s="339" customFormat="1" ht="15"/>
    <row r="149" s="339" customFormat="1" ht="15"/>
    <row r="150" s="339" customFormat="1" ht="15"/>
    <row r="151" s="339" customFormat="1" ht="15"/>
    <row r="152" s="339" customFormat="1" ht="15"/>
    <row r="153" s="339" customFormat="1" ht="15"/>
    <row r="154" s="339" customFormat="1" ht="15"/>
    <row r="155" s="339" customFormat="1" ht="15"/>
    <row r="156" s="339" customFormat="1" ht="15"/>
    <row r="157" s="339" customFormat="1" ht="15"/>
    <row r="158" s="339" customFormat="1" ht="15"/>
    <row r="159" s="339" customFormat="1" ht="15"/>
    <row r="160" s="339" customFormat="1" ht="15"/>
    <row r="161" s="339" customFormat="1" ht="15"/>
    <row r="162" s="339" customFormat="1" ht="15"/>
    <row r="163" s="339" customFormat="1" ht="15"/>
    <row r="164" s="339" customFormat="1" ht="15"/>
    <row r="165" s="339" customFormat="1" ht="15"/>
    <row r="166" s="339" customFormat="1" ht="15"/>
    <row r="167" s="339" customFormat="1" ht="15"/>
    <row r="168" s="339" customFormat="1" ht="15"/>
    <row r="169" s="339" customFormat="1" ht="15"/>
    <row r="170" s="339" customFormat="1" ht="15"/>
    <row r="171" s="339" customFormat="1" ht="15"/>
    <row r="172" s="339" customFormat="1" ht="15"/>
    <row r="173" s="339" customFormat="1" ht="15"/>
    <row r="174" s="339" customFormat="1" ht="15"/>
    <row r="175" s="339" customFormat="1" ht="15"/>
    <row r="176" s="339" customFormat="1" ht="15"/>
    <row r="177" s="339" customFormat="1" ht="15"/>
    <row r="178" s="339" customFormat="1" ht="15"/>
    <row r="179" s="339" customFormat="1" ht="15"/>
    <row r="180" s="339" customFormat="1" ht="15"/>
    <row r="181" s="339" customFormat="1" ht="15"/>
    <row r="182" s="339" customFormat="1" ht="15"/>
    <row r="183" s="339" customFormat="1" ht="15"/>
    <row r="184" s="339" customFormat="1" ht="15"/>
    <row r="185" s="339" customFormat="1" ht="15"/>
    <row r="186" s="339" customFormat="1" ht="15"/>
    <row r="187" s="339" customFormat="1" ht="15"/>
    <row r="188" s="339" customFormat="1" ht="15"/>
    <row r="189" s="339" customFormat="1" ht="15"/>
    <row r="190" s="339" customFormat="1" ht="15"/>
    <row r="191" s="339" customFormat="1" ht="15"/>
    <row r="192" s="339" customFormat="1" ht="15"/>
    <row r="193" s="339" customFormat="1" ht="15"/>
    <row r="194" s="339" customFormat="1" ht="15"/>
    <row r="195" s="339" customFormat="1" ht="15"/>
    <row r="196" s="339" customFormat="1" ht="15"/>
    <row r="197" s="339" customFormat="1" ht="15"/>
    <row r="198" s="339" customFormat="1" ht="15"/>
    <row r="199" s="339" customFormat="1" ht="15"/>
    <row r="200" s="339" customFormat="1" ht="15"/>
    <row r="201" s="339" customFormat="1" ht="15"/>
    <row r="202" s="339" customFormat="1" ht="15"/>
    <row r="203" s="339" customFormat="1" ht="15"/>
    <row r="204" s="339" customFormat="1" ht="15"/>
    <row r="205" s="339" customFormat="1" ht="15"/>
    <row r="206" s="339" customFormat="1" ht="15"/>
    <row r="207" s="339" customFormat="1" ht="15"/>
    <row r="208" s="339" customFormat="1" ht="15"/>
    <row r="209" s="339" customFormat="1" ht="15"/>
    <row r="210" s="339" customFormat="1" ht="15"/>
    <row r="211" s="339" customFormat="1" ht="15"/>
    <row r="212" s="339" customFormat="1" ht="15"/>
    <row r="213" s="339" customFormat="1" ht="15"/>
    <row r="214" s="339" customFormat="1" ht="15"/>
    <row r="215" s="339" customFormat="1" ht="15"/>
    <row r="216" s="339" customFormat="1" ht="15"/>
    <row r="217" s="339" customFormat="1" ht="15"/>
    <row r="218" s="339" customFormat="1" ht="15"/>
    <row r="219" s="339" customFormat="1" ht="15"/>
    <row r="220" s="339" customFormat="1" ht="15"/>
    <row r="221" s="339" customFormat="1" ht="15"/>
    <row r="222" s="339" customFormat="1" ht="15"/>
    <row r="223" s="339" customFormat="1" ht="15"/>
    <row r="224" s="339" customFormat="1" ht="15"/>
    <row r="225" s="339" customFormat="1" ht="15"/>
    <row r="226" s="339" customFormat="1" ht="15"/>
    <row r="227" s="339" customFormat="1" ht="15"/>
    <row r="228" s="339" customFormat="1" ht="15"/>
    <row r="229" s="339" customFormat="1" ht="15"/>
    <row r="230" s="339" customFormat="1" ht="15"/>
    <row r="231" s="339" customFormat="1" ht="15"/>
    <row r="232" s="339" customFormat="1" ht="15"/>
    <row r="233" s="339" customFormat="1" ht="15"/>
    <row r="234" s="339" customFormat="1" ht="15"/>
    <row r="235" s="339" customFormat="1" ht="15"/>
    <row r="236" s="339" customFormat="1" ht="15"/>
    <row r="237" s="339" customFormat="1" ht="15"/>
    <row r="238" s="339" customFormat="1" ht="15"/>
    <row r="239" s="339" customFormat="1" ht="15"/>
    <row r="240" s="339" customFormat="1" ht="15"/>
    <row r="241" s="339" customFormat="1" ht="15"/>
    <row r="242" s="339" customFormat="1" ht="15"/>
    <row r="243" s="339" customFormat="1" ht="15"/>
    <row r="244" s="339" customFormat="1" ht="15"/>
    <row r="245" s="339" customFormat="1" ht="15"/>
    <row r="246" s="339" customFormat="1" ht="15"/>
    <row r="247" s="339" customFormat="1" ht="15"/>
    <row r="248" s="339" customFormat="1" ht="15"/>
    <row r="249" s="339" customFormat="1" ht="15"/>
    <row r="250" s="339" customFormat="1" ht="15"/>
    <row r="251" s="339" customFormat="1" ht="15"/>
    <row r="252" s="339" customFormat="1" ht="15"/>
    <row r="253" s="339" customFormat="1" ht="15"/>
    <row r="254" s="339" customFormat="1" ht="15"/>
    <row r="255" s="339" customFormat="1" ht="15"/>
    <row r="256" s="339" customFormat="1" ht="15"/>
    <row r="257" s="339" customFormat="1" ht="15"/>
    <row r="258" s="339" customFormat="1" ht="15"/>
    <row r="259" s="339" customFormat="1" ht="15"/>
    <row r="260" s="339" customFormat="1" ht="15"/>
    <row r="261" s="339" customFormat="1" ht="15"/>
    <row r="262" s="339" customFormat="1" ht="15"/>
    <row r="263" s="339" customFormat="1" ht="15"/>
    <row r="264" s="339" customFormat="1" ht="15"/>
    <row r="265" s="339" customFormat="1" ht="15"/>
    <row r="266" s="339" customFormat="1" ht="15"/>
    <row r="267" s="339" customFormat="1" ht="15"/>
    <row r="268" s="339" customFormat="1" ht="15"/>
    <row r="269" s="339" customFormat="1" ht="15"/>
    <row r="270" s="339" customFormat="1" ht="15"/>
    <row r="271" s="339" customFormat="1" ht="15"/>
    <row r="272" s="339" customFormat="1" ht="15"/>
    <row r="273" s="339" customFormat="1" ht="15"/>
    <row r="274" s="339" customFormat="1" ht="15"/>
    <row r="275" s="339" customFormat="1" ht="15"/>
    <row r="276" s="339" customFormat="1" ht="15"/>
    <row r="277" s="339" customFormat="1" ht="15"/>
    <row r="278" s="339" customFormat="1" ht="15"/>
    <row r="279" s="339" customFormat="1" ht="15"/>
    <row r="280" s="339" customFormat="1" ht="15"/>
    <row r="281" s="339" customFormat="1" ht="15"/>
    <row r="282" s="339" customFormat="1" ht="15"/>
    <row r="283" s="339" customFormat="1" ht="15"/>
    <row r="284" s="339" customFormat="1" ht="15"/>
    <row r="285" s="339" customFormat="1" ht="15"/>
    <row r="286" s="339" customFormat="1" ht="15"/>
    <row r="287" s="339" customFormat="1" ht="15"/>
    <row r="288" s="339" customFormat="1" ht="15"/>
    <row r="289" s="339" customFormat="1" ht="15"/>
    <row r="290" s="339" customFormat="1" ht="15"/>
    <row r="291" s="339" customFormat="1" ht="15"/>
    <row r="292" s="339" customFormat="1" ht="15"/>
    <row r="293" s="339" customFormat="1" ht="15"/>
    <row r="294" s="339" customFormat="1" ht="15"/>
    <row r="295" s="339" customFormat="1" ht="15"/>
    <row r="296" s="339" customFormat="1" ht="15"/>
    <row r="297" s="339" customFormat="1" ht="15"/>
    <row r="298" s="339" customFormat="1" ht="15"/>
    <row r="299" s="339" customFormat="1" ht="15"/>
    <row r="300" s="339" customFormat="1" ht="15"/>
    <row r="301" s="339" customFormat="1" ht="15"/>
    <row r="302" s="339" customFormat="1" ht="15"/>
    <row r="303" s="339" customFormat="1" ht="15"/>
    <row r="304" s="339" customFormat="1" ht="15"/>
    <row r="305" s="339" customFormat="1" ht="15"/>
    <row r="306" s="339" customFormat="1" ht="15"/>
    <row r="307" s="339" customFormat="1" ht="15"/>
    <row r="308" s="339" customFormat="1" ht="15"/>
    <row r="309" s="339" customFormat="1" ht="15"/>
    <row r="310" s="339" customFormat="1" ht="15"/>
    <row r="311" s="339" customFormat="1" ht="15"/>
    <row r="312" s="339" customFormat="1" ht="15"/>
    <row r="313" s="339" customFormat="1" ht="15"/>
    <row r="314" s="339" customFormat="1" ht="15"/>
    <row r="315" s="339" customFormat="1" ht="15"/>
    <row r="316" s="339" customFormat="1" ht="15"/>
    <row r="317" s="339" customFormat="1" ht="15"/>
    <row r="318" s="339" customFormat="1" ht="15"/>
    <row r="319" s="339" customFormat="1" ht="15"/>
    <row r="320" s="339" customFormat="1" ht="15"/>
    <row r="321" s="339" customFormat="1" ht="15"/>
    <row r="322" s="339" customFormat="1" ht="15"/>
    <row r="323" s="339" customFormat="1" ht="15"/>
    <row r="324" s="339" customFormat="1" ht="15"/>
    <row r="325" s="339" customFormat="1" ht="15"/>
    <row r="326" s="339" customFormat="1" ht="15"/>
    <row r="327" s="339" customFormat="1" ht="15"/>
    <row r="328" s="339" customFormat="1" ht="15"/>
    <row r="329" s="339" customFormat="1" ht="15"/>
    <row r="330" s="339" customFormat="1" ht="15"/>
    <row r="331" s="339" customFormat="1" ht="15"/>
    <row r="332" s="339" customFormat="1" ht="15"/>
    <row r="333" s="339" customFormat="1" ht="15"/>
    <row r="334" s="339" customFormat="1" ht="15"/>
    <row r="335" s="339" customFormat="1" ht="15"/>
    <row r="336" s="339" customFormat="1" ht="15"/>
    <row r="337" s="339" customFormat="1" ht="15"/>
    <row r="338" s="339" customFormat="1" ht="15"/>
    <row r="339" s="339" customFormat="1" ht="15"/>
    <row r="340" s="339" customFormat="1" ht="15"/>
    <row r="341" s="339" customFormat="1" ht="15"/>
    <row r="342" s="339" customFormat="1" ht="15"/>
    <row r="343" s="339" customFormat="1" ht="15"/>
    <row r="344" s="339" customFormat="1" ht="15"/>
    <row r="345" s="339" customFormat="1" ht="15"/>
    <row r="346" s="339" customFormat="1" ht="15"/>
    <row r="347" s="339" customFormat="1" ht="15"/>
    <row r="348" s="339" customFormat="1" ht="15"/>
    <row r="349" s="339" customFormat="1" ht="15"/>
    <row r="350" s="339" customFormat="1" ht="15"/>
    <row r="351" s="339" customFormat="1" ht="15"/>
    <row r="352" s="339" customFormat="1" ht="15"/>
    <row r="353" s="339" customFormat="1" ht="15"/>
    <row r="354" s="339" customFormat="1" ht="15"/>
    <row r="355" s="339" customFormat="1" ht="15"/>
    <row r="356" s="339" customFormat="1" ht="15"/>
    <row r="357" s="339" customFormat="1" ht="15"/>
    <row r="358" s="339" customFormat="1" ht="15"/>
    <row r="359" s="339" customFormat="1" ht="15"/>
    <row r="360" s="339" customFormat="1" ht="15"/>
    <row r="361" s="339" customFormat="1" ht="15"/>
    <row r="362" s="339" customFormat="1" ht="15"/>
    <row r="363" s="339" customFormat="1" ht="15"/>
    <row r="364" s="339" customFormat="1" ht="15"/>
    <row r="365" s="339" customFormat="1" ht="15"/>
    <row r="366" s="339" customFormat="1" ht="15"/>
    <row r="367" s="339" customFormat="1" ht="15"/>
    <row r="368" s="339" customFormat="1" ht="15"/>
    <row r="369" s="339" customFormat="1" ht="15"/>
    <row r="370" s="339" customFormat="1" ht="15"/>
    <row r="371" s="339" customFormat="1" ht="15"/>
    <row r="372" s="339" customFormat="1" ht="15"/>
    <row r="373" s="339" customFormat="1" ht="15"/>
    <row r="374" s="339" customFormat="1" ht="15"/>
    <row r="375" s="339" customFormat="1" ht="15"/>
    <row r="376" s="339" customFormat="1" ht="15"/>
    <row r="377" s="339" customFormat="1" ht="15"/>
    <row r="378" s="339" customFormat="1" ht="15"/>
    <row r="379" s="339" customFormat="1" ht="15"/>
    <row r="380" s="339" customFormat="1" ht="15"/>
    <row r="381" s="339" customFormat="1" ht="15"/>
    <row r="382" s="339" customFormat="1" ht="15"/>
    <row r="383" s="339" customFormat="1" ht="15"/>
    <row r="384" s="339" customFormat="1" ht="15"/>
    <row r="385" s="339" customFormat="1" ht="15"/>
    <row r="386" s="339" customFormat="1" ht="15"/>
    <row r="387" s="339" customFormat="1" ht="15"/>
    <row r="388" s="339" customFormat="1" ht="15"/>
    <row r="389" s="339" customFormat="1" ht="15"/>
    <row r="390" s="339" customFormat="1" ht="15"/>
    <row r="391" s="339" customFormat="1" ht="15"/>
    <row r="392" s="339" customFormat="1" ht="15"/>
    <row r="393" s="339" customFormat="1" ht="15"/>
    <row r="394" s="339" customFormat="1" ht="15"/>
    <row r="395" s="339" customFormat="1" ht="15"/>
    <row r="396" s="339" customFormat="1" ht="15"/>
    <row r="397" s="339" customFormat="1" ht="15"/>
    <row r="398" s="339" customFormat="1" ht="15"/>
    <row r="399" s="339" customFormat="1" ht="15"/>
    <row r="400" s="339" customFormat="1" ht="15"/>
    <row r="401" s="339" customFormat="1" ht="15"/>
    <row r="402" s="339" customFormat="1" ht="15"/>
    <row r="403" s="339" customFormat="1" ht="15"/>
    <row r="404" s="339" customFormat="1" ht="15"/>
    <row r="405" s="339" customFormat="1" ht="15"/>
    <row r="406" s="339" customFormat="1" ht="15"/>
    <row r="407" s="339" customFormat="1" ht="15"/>
    <row r="408" s="339" customFormat="1" ht="15"/>
    <row r="409" s="339" customFormat="1" ht="15"/>
    <row r="410" s="339" customFormat="1" ht="15"/>
    <row r="411" s="339" customFormat="1" ht="15"/>
    <row r="412" s="339" customFormat="1" ht="15"/>
    <row r="413" s="339" customFormat="1" ht="15"/>
    <row r="414" s="339" customFormat="1" ht="15"/>
    <row r="415" s="339" customFormat="1" ht="15"/>
    <row r="416" s="339" customFormat="1" ht="15"/>
  </sheetData>
  <sheetProtection password="E69A" sheet="1" objects="1" scenarios="1" selectLockedCells="1" selectUnlockedCells="1"/>
  <mergeCells count="45">
    <mergeCell ref="AO9:AS9"/>
    <mergeCell ref="O6:P6"/>
    <mergeCell ref="AP6:AS6"/>
    <mergeCell ref="J13:L13"/>
    <mergeCell ref="M13:U13"/>
    <mergeCell ref="AG18:AI18"/>
    <mergeCell ref="AQ18:AT18"/>
    <mergeCell ref="D7:I7"/>
    <mergeCell ref="D9:I9"/>
    <mergeCell ref="Q9:U9"/>
    <mergeCell ref="AC8:AI9"/>
    <mergeCell ref="B11:C11"/>
    <mergeCell ref="N11:T12"/>
    <mergeCell ref="Y2:AT2"/>
    <mergeCell ref="H3:O3"/>
    <mergeCell ref="Y3:AT3"/>
    <mergeCell ref="P5:U5"/>
    <mergeCell ref="D6:I6"/>
    <mergeCell ref="Q6:U6"/>
    <mergeCell ref="AB6:AH6"/>
    <mergeCell ref="B2:V2"/>
    <mergeCell ref="F19:I19"/>
    <mergeCell ref="L19:O19"/>
    <mergeCell ref="Q19:S19"/>
    <mergeCell ref="D11:I11"/>
    <mergeCell ref="F18:G18"/>
    <mergeCell ref="H18:I18"/>
    <mergeCell ref="N18:O18"/>
    <mergeCell ref="F13:I13"/>
    <mergeCell ref="P29:T29"/>
    <mergeCell ref="AQ22:AT22"/>
    <mergeCell ref="AB22:AP22"/>
    <mergeCell ref="AA24:AO24"/>
    <mergeCell ref="AL18:AN18"/>
    <mergeCell ref="AJ18:AK18"/>
    <mergeCell ref="AL38:AT38"/>
    <mergeCell ref="AC20:AS20"/>
    <mergeCell ref="C25:G25"/>
    <mergeCell ref="H25:K25"/>
    <mergeCell ref="L25:O25"/>
    <mergeCell ref="P25:Q25"/>
    <mergeCell ref="R25:U25"/>
    <mergeCell ref="D27:T27"/>
    <mergeCell ref="F29:J29"/>
    <mergeCell ref="L29:O29"/>
  </mergeCells>
  <printOptions/>
  <pageMargins left="0.24" right="0.09" top="0.32" bottom="0.14" header="0.28" footer="0.1"/>
  <pageSetup horizontalDpi="300" verticalDpi="300" orientation="landscape" paperSize="9" scale="90" r:id="rId2"/>
  <drawing r:id="rId1"/>
</worksheet>
</file>

<file path=xl/worksheets/sheet7.xml><?xml version="1.0" encoding="utf-8"?>
<worksheet xmlns="http://schemas.openxmlformats.org/spreadsheetml/2006/main" xmlns:r="http://schemas.openxmlformats.org/officeDocument/2006/relationships">
  <sheetPr>
    <tabColor rgb="FF7030A0"/>
  </sheetPr>
  <dimension ref="A1:CJ50"/>
  <sheetViews>
    <sheetView showGridLines="0" showRowColHeaders="0" zoomScalePageLayoutView="0" workbookViewId="0" topLeftCell="A1">
      <selection activeCell="O5" sqref="O5"/>
    </sheetView>
  </sheetViews>
  <sheetFormatPr defaultColWidth="9.140625" defaultRowHeight="15"/>
  <cols>
    <col min="1" max="1" width="2.8515625" style="306" customWidth="1"/>
    <col min="2" max="2" width="5.7109375" style="0" customWidth="1"/>
    <col min="3" max="3" width="11.8515625" style="0" customWidth="1"/>
    <col min="4" max="4" width="1.8515625" style="0" customWidth="1"/>
    <col min="5" max="5" width="12.421875" style="0" customWidth="1"/>
    <col min="6" max="6" width="7.28125" style="0" customWidth="1"/>
    <col min="7" max="7" width="15.8515625" style="0" customWidth="1"/>
    <col min="8" max="8" width="15.8515625" style="1" customWidth="1"/>
    <col min="9" max="9" width="4.140625" style="0" customWidth="1"/>
    <col min="10" max="10" width="2.57421875" style="0" customWidth="1"/>
    <col min="11" max="11" width="10.57421875" style="0" customWidth="1"/>
    <col min="12" max="12" width="10.7109375" style="0" customWidth="1"/>
    <col min="13" max="13" width="2.00390625" style="0" customWidth="1"/>
    <col min="14" max="88" width="9.140625" style="306" customWidth="1"/>
  </cols>
  <sheetData>
    <row r="1" spans="1:14" s="306" customFormat="1" ht="15">
      <c r="A1" s="302"/>
      <c r="B1" s="302"/>
      <c r="C1" s="302"/>
      <c r="D1" s="302"/>
      <c r="E1" s="302"/>
      <c r="F1" s="302"/>
      <c r="G1" s="302"/>
      <c r="H1" s="302"/>
      <c r="I1" s="302"/>
      <c r="J1" s="302"/>
      <c r="K1" s="302"/>
      <c r="L1" s="302"/>
      <c r="M1" s="302"/>
      <c r="N1" s="305"/>
    </row>
    <row r="2" spans="1:14" ht="18.75">
      <c r="A2" s="302"/>
      <c r="B2" s="813" t="s">
        <v>229</v>
      </c>
      <c r="C2" s="813"/>
      <c r="D2" s="813"/>
      <c r="E2" s="813"/>
      <c r="F2" s="813"/>
      <c r="G2" s="813"/>
      <c r="H2" s="813"/>
      <c r="I2" s="813"/>
      <c r="J2" s="813"/>
      <c r="K2" s="813"/>
      <c r="L2" s="813"/>
      <c r="M2" s="813"/>
      <c r="N2" s="305"/>
    </row>
    <row r="3" spans="1:14" ht="15.75">
      <c r="A3" s="302"/>
      <c r="B3" s="814" t="s">
        <v>230</v>
      </c>
      <c r="C3" s="814"/>
      <c r="D3" s="814"/>
      <c r="E3" s="814"/>
      <c r="F3" s="814"/>
      <c r="G3" s="814"/>
      <c r="H3" s="814"/>
      <c r="I3" s="814"/>
      <c r="J3" s="814"/>
      <c r="K3" s="814"/>
      <c r="L3" s="814"/>
      <c r="M3" s="814"/>
      <c r="N3" s="305"/>
    </row>
    <row r="4" spans="1:14" ht="15.75">
      <c r="A4" s="302"/>
      <c r="B4" s="16"/>
      <c r="C4" s="16"/>
      <c r="D4" s="16"/>
      <c r="E4" s="16"/>
      <c r="F4" s="16"/>
      <c r="G4" s="16"/>
      <c r="H4" s="16"/>
      <c r="I4" s="16"/>
      <c r="J4" s="16"/>
      <c r="K4" s="16"/>
      <c r="L4" s="16"/>
      <c r="M4" s="16"/>
      <c r="N4" s="305"/>
    </row>
    <row r="5" spans="1:15" ht="11.25" customHeight="1">
      <c r="A5" s="302"/>
      <c r="B5" s="16"/>
      <c r="C5" s="16"/>
      <c r="D5" s="16"/>
      <c r="E5" s="16"/>
      <c r="F5" s="16"/>
      <c r="G5" s="16"/>
      <c r="H5" s="16"/>
      <c r="I5" s="16"/>
      <c r="J5" s="16"/>
      <c r="K5" s="16"/>
      <c r="L5" s="16"/>
      <c r="M5" s="16"/>
      <c r="N5" s="305"/>
      <c r="O5" s="328"/>
    </row>
    <row r="6" spans="1:15" ht="15.75">
      <c r="A6" s="302"/>
      <c r="B6" s="16"/>
      <c r="C6" s="16"/>
      <c r="D6" s="16"/>
      <c r="E6" s="16"/>
      <c r="F6" s="16"/>
      <c r="G6" s="16"/>
      <c r="H6" s="16"/>
      <c r="I6" s="16"/>
      <c r="J6" s="16"/>
      <c r="K6" s="16"/>
      <c r="L6" s="16"/>
      <c r="M6" s="16"/>
      <c r="N6" s="305"/>
      <c r="O6" s="328"/>
    </row>
    <row r="7" spans="1:15" ht="18.75" customHeight="1">
      <c r="A7" s="302"/>
      <c r="B7" s="327" t="s">
        <v>561</v>
      </c>
      <c r="C7" s="17"/>
      <c r="D7" s="31" t="s">
        <v>76</v>
      </c>
      <c r="E7" s="817" t="str">
        <f>DATA!D17</f>
        <v>State Bank of India, Pathikonda</v>
      </c>
      <c r="F7" s="817"/>
      <c r="G7" s="817"/>
      <c r="H7" s="817"/>
      <c r="I7" s="817"/>
      <c r="J7" s="18" t="s">
        <v>231</v>
      </c>
      <c r="K7" s="18"/>
      <c r="L7" s="815">
        <f>DATA!AM114</f>
        <v>41699</v>
      </c>
      <c r="M7" s="815"/>
      <c r="N7" s="305"/>
      <c r="O7" s="328"/>
    </row>
    <row r="8" spans="1:15" ht="15">
      <c r="A8" s="302"/>
      <c r="B8" s="327" t="s">
        <v>562</v>
      </c>
      <c r="C8" s="17"/>
      <c r="D8" s="31" t="s">
        <v>76</v>
      </c>
      <c r="E8" s="816" t="str">
        <f>DATA!D16</f>
        <v>09130308020</v>
      </c>
      <c r="F8" s="816"/>
      <c r="G8" s="816"/>
      <c r="H8" s="452"/>
      <c r="I8" s="19"/>
      <c r="J8" s="19"/>
      <c r="K8" s="19"/>
      <c r="L8" s="15"/>
      <c r="M8" s="15"/>
      <c r="N8" s="305"/>
      <c r="O8" s="328"/>
    </row>
    <row r="9" spans="1:15" ht="20.25" customHeight="1" thickBot="1">
      <c r="A9" s="302"/>
      <c r="B9" s="20" t="s">
        <v>90</v>
      </c>
      <c r="C9" s="20"/>
      <c r="D9" s="56" t="s">
        <v>76</v>
      </c>
      <c r="E9" s="812" t="str">
        <f>CONCATENATE(DATA!D19,", ",DATA!P145,", ",DATA!M18,"")</f>
        <v>Mandal Education Officer, Mandal Parishad, Tuggali</v>
      </c>
      <c r="F9" s="812"/>
      <c r="G9" s="812"/>
      <c r="H9" s="812"/>
      <c r="I9" s="812"/>
      <c r="J9" s="812"/>
      <c r="K9" s="812"/>
      <c r="L9" s="21"/>
      <c r="M9" s="21"/>
      <c r="N9" s="307"/>
      <c r="O9" s="328"/>
    </row>
    <row r="10" spans="1:15" ht="27" customHeight="1">
      <c r="A10" s="302"/>
      <c r="B10" s="22" t="s">
        <v>232</v>
      </c>
      <c r="C10" s="23" t="s">
        <v>233</v>
      </c>
      <c r="D10" s="797" t="s">
        <v>234</v>
      </c>
      <c r="E10" s="797"/>
      <c r="F10" s="797"/>
      <c r="G10" s="55" t="s">
        <v>0</v>
      </c>
      <c r="H10" s="55" t="s">
        <v>570</v>
      </c>
      <c r="I10" s="797" t="s">
        <v>235</v>
      </c>
      <c r="J10" s="797"/>
      <c r="K10" s="797"/>
      <c r="L10" s="771" t="s">
        <v>236</v>
      </c>
      <c r="M10" s="771"/>
      <c r="N10" s="305"/>
      <c r="O10" s="328"/>
    </row>
    <row r="11" spans="1:14" ht="15">
      <c r="A11" s="302"/>
      <c r="B11" s="798">
        <v>1</v>
      </c>
      <c r="C11" s="799">
        <f>DATA!D13</f>
        <v>938023</v>
      </c>
      <c r="D11" s="775" t="str">
        <f>CONCATENATE(DATA!T131,DATA!E3)</f>
        <v>Sri.K.Chandra sekhar</v>
      </c>
      <c r="E11" s="775"/>
      <c r="F11" s="775"/>
      <c r="G11" s="800" t="str">
        <f>DATA!V121</f>
        <v>Sr.Asst.</v>
      </c>
      <c r="H11" s="800" t="str">
        <f>DATA!M19</f>
        <v>SBIN0015396</v>
      </c>
      <c r="I11" s="802">
        <f>DATA!I15</f>
        <v>11164896825</v>
      </c>
      <c r="J11" s="803"/>
      <c r="K11" s="804"/>
      <c r="L11" s="808">
        <f>Bill!Z12</f>
        <v>954</v>
      </c>
      <c r="M11" s="809"/>
      <c r="N11" s="305"/>
    </row>
    <row r="12" spans="1:14" ht="37.5" customHeight="1">
      <c r="A12" s="302"/>
      <c r="B12" s="798"/>
      <c r="C12" s="799"/>
      <c r="D12" s="775"/>
      <c r="E12" s="775"/>
      <c r="F12" s="775"/>
      <c r="G12" s="801"/>
      <c r="H12" s="801"/>
      <c r="I12" s="805"/>
      <c r="J12" s="806"/>
      <c r="K12" s="807"/>
      <c r="L12" s="810"/>
      <c r="M12" s="811"/>
      <c r="N12" s="305"/>
    </row>
    <row r="13" spans="1:14" ht="22.5" customHeight="1" thickBot="1">
      <c r="A13" s="302"/>
      <c r="B13" s="794" t="s">
        <v>77</v>
      </c>
      <c r="C13" s="795"/>
      <c r="D13" s="795"/>
      <c r="E13" s="795"/>
      <c r="F13" s="795"/>
      <c r="G13" s="795"/>
      <c r="H13" s="795"/>
      <c r="I13" s="795"/>
      <c r="J13" s="795"/>
      <c r="K13" s="796"/>
      <c r="L13" s="790">
        <f>SUM($L11:$L12)</f>
        <v>954</v>
      </c>
      <c r="M13" s="791"/>
      <c r="N13" s="305"/>
    </row>
    <row r="14" spans="1:14" ht="15.75">
      <c r="A14" s="302"/>
      <c r="B14" s="24"/>
      <c r="C14" s="25"/>
      <c r="D14" s="25"/>
      <c r="E14" s="25"/>
      <c r="F14" s="25"/>
      <c r="G14" s="25"/>
      <c r="H14" s="25"/>
      <c r="I14" s="26"/>
      <c r="J14" s="26"/>
      <c r="K14" s="26"/>
      <c r="L14" s="27"/>
      <c r="M14" s="26"/>
      <c r="N14" s="305"/>
    </row>
    <row r="15" spans="1:14" ht="15">
      <c r="A15" s="302"/>
      <c r="B15" s="28" t="s">
        <v>237</v>
      </c>
      <c r="C15" s="28"/>
      <c r="D15" s="777" t="str">
        <f>DATA!AL142</f>
        <v>    Nine Hundred and Fifty Four rupees only </v>
      </c>
      <c r="E15" s="777"/>
      <c r="F15" s="777"/>
      <c r="G15" s="777"/>
      <c r="H15" s="777"/>
      <c r="I15" s="777"/>
      <c r="J15" s="777"/>
      <c r="K15" s="777"/>
      <c r="L15" s="777"/>
      <c r="M15" s="777"/>
      <c r="N15" s="305"/>
    </row>
    <row r="16" spans="1:14" ht="18.75">
      <c r="A16" s="302"/>
      <c r="B16" s="29"/>
      <c r="C16" s="56"/>
      <c r="D16" s="56"/>
      <c r="E16" s="20"/>
      <c r="F16" s="20"/>
      <c r="G16" s="15"/>
      <c r="H16" s="15"/>
      <c r="I16" s="15"/>
      <c r="J16" s="15"/>
      <c r="K16" s="15"/>
      <c r="L16" s="15"/>
      <c r="M16" s="15"/>
      <c r="N16" s="305"/>
    </row>
    <row r="17" spans="1:14" ht="18.75">
      <c r="A17" s="302"/>
      <c r="B17" s="29"/>
      <c r="C17" s="58"/>
      <c r="D17" s="58"/>
      <c r="E17" s="57"/>
      <c r="F17" s="30"/>
      <c r="G17" s="15"/>
      <c r="H17" s="15"/>
      <c r="I17" s="15"/>
      <c r="J17" s="15"/>
      <c r="K17" s="15"/>
      <c r="L17" s="15"/>
      <c r="M17" s="15"/>
      <c r="N17" s="305"/>
    </row>
    <row r="18" spans="1:14" ht="15">
      <c r="A18" s="302"/>
      <c r="B18" s="15"/>
      <c r="C18" s="31"/>
      <c r="D18" s="31"/>
      <c r="E18" s="15"/>
      <c r="F18" s="15"/>
      <c r="G18" s="15"/>
      <c r="H18" s="15"/>
      <c r="I18" s="15"/>
      <c r="J18" s="15"/>
      <c r="K18" s="32"/>
      <c r="L18" s="32"/>
      <c r="M18" s="15"/>
      <c r="N18" s="305"/>
    </row>
    <row r="19" spans="1:14" ht="15">
      <c r="A19" s="302"/>
      <c r="B19" s="31" t="s">
        <v>238</v>
      </c>
      <c r="C19" s="31"/>
      <c r="D19" s="31"/>
      <c r="E19" s="33"/>
      <c r="F19" s="33"/>
      <c r="G19" s="15"/>
      <c r="H19" s="15"/>
      <c r="I19" s="32" t="s">
        <v>239</v>
      </c>
      <c r="J19" s="15"/>
      <c r="K19" s="15"/>
      <c r="L19" s="15"/>
      <c r="M19" s="15"/>
      <c r="N19" s="305"/>
    </row>
    <row r="20" spans="1:14" ht="15">
      <c r="A20" s="302"/>
      <c r="B20" s="31"/>
      <c r="C20" s="31"/>
      <c r="D20" s="31"/>
      <c r="E20" s="33"/>
      <c r="F20" s="33"/>
      <c r="G20" s="15"/>
      <c r="H20" s="15"/>
      <c r="I20" s="15"/>
      <c r="J20" s="15"/>
      <c r="K20" s="15"/>
      <c r="L20" s="15"/>
      <c r="M20" s="15"/>
      <c r="N20" s="305"/>
    </row>
    <row r="21" spans="1:14" ht="15">
      <c r="A21" s="302"/>
      <c r="B21" s="31"/>
      <c r="C21" s="31"/>
      <c r="D21" s="31"/>
      <c r="E21" s="33"/>
      <c r="F21" s="33"/>
      <c r="G21" s="15"/>
      <c r="H21" s="15"/>
      <c r="I21" s="15"/>
      <c r="J21" s="15"/>
      <c r="K21" s="15"/>
      <c r="L21" s="15"/>
      <c r="M21" s="15"/>
      <c r="N21" s="305"/>
    </row>
    <row r="22" spans="1:88" s="1" customFormat="1" ht="15">
      <c r="A22" s="302"/>
      <c r="B22" s="31"/>
      <c r="C22" s="31"/>
      <c r="D22" s="31"/>
      <c r="E22" s="33"/>
      <c r="F22" s="33"/>
      <c r="G22" s="15"/>
      <c r="H22" s="15"/>
      <c r="I22" s="15"/>
      <c r="J22" s="15"/>
      <c r="K22" s="15"/>
      <c r="L22" s="15"/>
      <c r="M22" s="15"/>
      <c r="N22" s="305"/>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6"/>
      <c r="AM22" s="306"/>
      <c r="AN22" s="306"/>
      <c r="AO22" s="306"/>
      <c r="AP22" s="306"/>
      <c r="AQ22" s="306"/>
      <c r="AR22" s="306"/>
      <c r="AS22" s="306"/>
      <c r="AT22" s="306"/>
      <c r="AU22" s="306"/>
      <c r="AV22" s="306"/>
      <c r="AW22" s="306"/>
      <c r="AX22" s="306"/>
      <c r="AY22" s="306"/>
      <c r="AZ22" s="306"/>
      <c r="BA22" s="306"/>
      <c r="BB22" s="306"/>
      <c r="BC22" s="306"/>
      <c r="BD22" s="306"/>
      <c r="BE22" s="306"/>
      <c r="BF22" s="306"/>
      <c r="BG22" s="306"/>
      <c r="BH22" s="306"/>
      <c r="BI22" s="306"/>
      <c r="BJ22" s="306"/>
      <c r="BK22" s="306"/>
      <c r="BL22" s="306"/>
      <c r="BM22" s="306"/>
      <c r="BN22" s="306"/>
      <c r="BO22" s="306"/>
      <c r="BP22" s="306"/>
      <c r="BQ22" s="306"/>
      <c r="BR22" s="306"/>
      <c r="BS22" s="306"/>
      <c r="BT22" s="306"/>
      <c r="BU22" s="306"/>
      <c r="BV22" s="306"/>
      <c r="BW22" s="306"/>
      <c r="BX22" s="306"/>
      <c r="BY22" s="306"/>
      <c r="BZ22" s="306"/>
      <c r="CA22" s="306"/>
      <c r="CB22" s="306"/>
      <c r="CC22" s="306"/>
      <c r="CD22" s="306"/>
      <c r="CE22" s="306"/>
      <c r="CF22" s="306"/>
      <c r="CG22" s="306"/>
      <c r="CH22" s="306"/>
      <c r="CI22" s="306"/>
      <c r="CJ22" s="306"/>
    </row>
    <row r="23" spans="1:88" s="1" customFormat="1" ht="15">
      <c r="A23" s="302"/>
      <c r="B23" s="31"/>
      <c r="C23" s="31"/>
      <c r="D23" s="31"/>
      <c r="E23" s="33"/>
      <c r="F23" s="33"/>
      <c r="G23" s="15"/>
      <c r="H23" s="15"/>
      <c r="I23" s="15"/>
      <c r="J23" s="15"/>
      <c r="K23" s="15"/>
      <c r="L23" s="15"/>
      <c r="M23" s="15"/>
      <c r="N23" s="305"/>
      <c r="O23" s="306"/>
      <c r="P23" s="306"/>
      <c r="Q23" s="306"/>
      <c r="R23" s="306"/>
      <c r="S23" s="306"/>
      <c r="T23" s="306"/>
      <c r="U23" s="306"/>
      <c r="V23" s="306"/>
      <c r="W23" s="306"/>
      <c r="X23" s="306"/>
      <c r="Y23" s="306"/>
      <c r="Z23" s="306"/>
      <c r="AA23" s="306"/>
      <c r="AB23" s="306"/>
      <c r="AC23" s="306"/>
      <c r="AD23" s="306"/>
      <c r="AE23" s="306"/>
      <c r="AF23" s="306"/>
      <c r="AG23" s="306"/>
      <c r="AH23" s="306"/>
      <c r="AI23" s="306"/>
      <c r="AJ23" s="306"/>
      <c r="AK23" s="306"/>
      <c r="AL23" s="306"/>
      <c r="AM23" s="306"/>
      <c r="AN23" s="306"/>
      <c r="AO23" s="306"/>
      <c r="AP23" s="306"/>
      <c r="AQ23" s="306"/>
      <c r="AR23" s="306"/>
      <c r="AS23" s="306"/>
      <c r="AT23" s="306"/>
      <c r="AU23" s="306"/>
      <c r="AV23" s="306"/>
      <c r="AW23" s="306"/>
      <c r="AX23" s="306"/>
      <c r="AY23" s="306"/>
      <c r="AZ23" s="306"/>
      <c r="BA23" s="306"/>
      <c r="BB23" s="306"/>
      <c r="BC23" s="306"/>
      <c r="BD23" s="306"/>
      <c r="BE23" s="306"/>
      <c r="BF23" s="306"/>
      <c r="BG23" s="306"/>
      <c r="BH23" s="306"/>
      <c r="BI23" s="306"/>
      <c r="BJ23" s="306"/>
      <c r="BK23" s="306"/>
      <c r="BL23" s="306"/>
      <c r="BM23" s="306"/>
      <c r="BN23" s="306"/>
      <c r="BO23" s="306"/>
      <c r="BP23" s="306"/>
      <c r="BQ23" s="306"/>
      <c r="BR23" s="306"/>
      <c r="BS23" s="306"/>
      <c r="BT23" s="306"/>
      <c r="BU23" s="306"/>
      <c r="BV23" s="306"/>
      <c r="BW23" s="306"/>
      <c r="BX23" s="306"/>
      <c r="BY23" s="306"/>
      <c r="BZ23" s="306"/>
      <c r="CA23" s="306"/>
      <c r="CB23" s="306"/>
      <c r="CC23" s="306"/>
      <c r="CD23" s="306"/>
      <c r="CE23" s="306"/>
      <c r="CF23" s="306"/>
      <c r="CG23" s="306"/>
      <c r="CH23" s="306"/>
      <c r="CI23" s="306"/>
      <c r="CJ23" s="306"/>
    </row>
    <row r="24" spans="1:14" ht="15">
      <c r="A24" s="302"/>
      <c r="B24" s="31"/>
      <c r="C24" s="31"/>
      <c r="D24" s="31"/>
      <c r="E24" s="33"/>
      <c r="F24" s="33"/>
      <c r="G24" s="15"/>
      <c r="H24" s="15"/>
      <c r="I24" s="15"/>
      <c r="J24" s="15"/>
      <c r="K24" s="15"/>
      <c r="L24" s="15"/>
      <c r="M24" s="15"/>
      <c r="N24" s="305"/>
    </row>
    <row r="25" spans="1:14" ht="18.75">
      <c r="A25" s="302"/>
      <c r="B25" s="793" t="s">
        <v>240</v>
      </c>
      <c r="C25" s="793"/>
      <c r="D25" s="793"/>
      <c r="E25" s="793"/>
      <c r="F25" s="793"/>
      <c r="G25" s="793"/>
      <c r="H25" s="793"/>
      <c r="I25" s="793"/>
      <c r="J25" s="793"/>
      <c r="K25" s="793"/>
      <c r="L25" s="793"/>
      <c r="M25" s="793"/>
      <c r="N25" s="305"/>
    </row>
    <row r="26" spans="1:14" ht="15">
      <c r="A26" s="302"/>
      <c r="B26" s="789" t="s">
        <v>241</v>
      </c>
      <c r="C26" s="789"/>
      <c r="D26" s="789"/>
      <c r="E26" s="789"/>
      <c r="F26" s="789"/>
      <c r="G26" s="789"/>
      <c r="H26" s="789"/>
      <c r="I26" s="789"/>
      <c r="J26" s="789"/>
      <c r="K26" s="789"/>
      <c r="L26" s="789"/>
      <c r="M26" s="789"/>
      <c r="N26" s="305"/>
    </row>
    <row r="27" spans="1:14" ht="15">
      <c r="A27" s="302"/>
      <c r="B27" s="789" t="s">
        <v>242</v>
      </c>
      <c r="C27" s="789"/>
      <c r="D27" s="789"/>
      <c r="E27" s="789"/>
      <c r="F27" s="789"/>
      <c r="G27" s="789"/>
      <c r="H27" s="789"/>
      <c r="I27" s="789"/>
      <c r="J27" s="789"/>
      <c r="K27" s="789"/>
      <c r="L27" s="789"/>
      <c r="M27" s="789"/>
      <c r="N27" s="305"/>
    </row>
    <row r="28" spans="1:14" ht="15">
      <c r="A28" s="302"/>
      <c r="B28" s="34"/>
      <c r="C28" s="34"/>
      <c r="D28" s="34"/>
      <c r="E28" s="34"/>
      <c r="F28" s="34"/>
      <c r="G28" s="34"/>
      <c r="H28" s="34"/>
      <c r="I28" s="34"/>
      <c r="J28" s="34"/>
      <c r="K28" s="34"/>
      <c r="L28" s="34"/>
      <c r="M28" s="34"/>
      <c r="N28" s="305"/>
    </row>
    <row r="29" spans="1:14" ht="15">
      <c r="A29" s="302"/>
      <c r="B29" s="34"/>
      <c r="C29" s="34"/>
      <c r="D29" s="34"/>
      <c r="E29" s="34"/>
      <c r="F29" s="34"/>
      <c r="G29" s="15"/>
      <c r="H29" s="15"/>
      <c r="I29" s="15"/>
      <c r="J29" s="15"/>
      <c r="K29" s="15"/>
      <c r="L29" s="15"/>
      <c r="M29" s="15"/>
      <c r="N29" s="305"/>
    </row>
    <row r="30" spans="1:14" ht="15">
      <c r="A30" s="302"/>
      <c r="B30" s="783" t="s">
        <v>243</v>
      </c>
      <c r="C30" s="783"/>
      <c r="D30" s="56" t="s">
        <v>76</v>
      </c>
      <c r="E30" s="326" t="str">
        <f>E8</f>
        <v>09130308020</v>
      </c>
      <c r="F30" s="35"/>
      <c r="G30" s="36"/>
      <c r="H30" s="36"/>
      <c r="I30" s="36"/>
      <c r="J30" s="3"/>
      <c r="K30" s="37" t="s">
        <v>244</v>
      </c>
      <c r="L30" s="38"/>
      <c r="M30" s="38"/>
      <c r="N30" s="305"/>
    </row>
    <row r="31" spans="1:14" ht="15" customHeight="1">
      <c r="A31" s="302"/>
      <c r="B31" s="785" t="s">
        <v>245</v>
      </c>
      <c r="C31" s="785"/>
      <c r="D31" s="56" t="s">
        <v>76</v>
      </c>
      <c r="E31" s="786" t="str">
        <f>CONCATENATE(DATA!U131,DATA!E15,",",DATA!O152,".",",",DATA!P152,".")</f>
        <v>Sri.T.V.Sreeenivasulu,B.Sc. .,B.Ed..</v>
      </c>
      <c r="F31" s="786"/>
      <c r="G31" s="786"/>
      <c r="H31" s="786"/>
      <c r="I31" s="786"/>
      <c r="J31" s="3"/>
      <c r="K31" s="39" t="s">
        <v>246</v>
      </c>
      <c r="L31" s="792"/>
      <c r="M31" s="792"/>
      <c r="N31" s="305"/>
    </row>
    <row r="32" spans="1:14" ht="18" customHeight="1">
      <c r="A32" s="302"/>
      <c r="B32" s="40" t="s">
        <v>90</v>
      </c>
      <c r="C32" s="41"/>
      <c r="D32" s="56" t="s">
        <v>76</v>
      </c>
      <c r="E32" s="785" t="str">
        <f>E9</f>
        <v>Mandal Education Officer, Mandal Parishad, Tuggali</v>
      </c>
      <c r="F32" s="785"/>
      <c r="G32" s="785"/>
      <c r="H32" s="785"/>
      <c r="I32" s="785"/>
      <c r="J32" s="785"/>
      <c r="K32" s="42"/>
      <c r="L32" s="57"/>
      <c r="M32" s="57"/>
      <c r="N32" s="305"/>
    </row>
    <row r="33" spans="1:14" ht="15">
      <c r="A33" s="302"/>
      <c r="B33" s="783" t="s">
        <v>563</v>
      </c>
      <c r="C33" s="783"/>
      <c r="D33" s="56" t="s">
        <v>76</v>
      </c>
      <c r="E33" s="784" t="str">
        <f>E7</f>
        <v>State Bank of India, Pathikonda</v>
      </c>
      <c r="F33" s="784"/>
      <c r="G33" s="784"/>
      <c r="H33" s="453"/>
      <c r="I33" s="36"/>
      <c r="J33" s="3"/>
      <c r="K33" s="37" t="s">
        <v>247</v>
      </c>
      <c r="L33" s="325">
        <f>DATA!D13</f>
        <v>938023</v>
      </c>
      <c r="M33" s="38"/>
      <c r="N33" s="305"/>
    </row>
    <row r="34" spans="1:88" s="1" customFormat="1" ht="15">
      <c r="A34" s="302"/>
      <c r="B34" s="56" t="s">
        <v>570</v>
      </c>
      <c r="C34" s="56"/>
      <c r="D34" s="56" t="s">
        <v>76</v>
      </c>
      <c r="E34" s="457" t="str">
        <f>DATA!M19</f>
        <v>SBIN0015396</v>
      </c>
      <c r="F34" s="453"/>
      <c r="G34" s="453"/>
      <c r="H34" s="453"/>
      <c r="I34" s="36"/>
      <c r="J34" s="3"/>
      <c r="K34" s="37"/>
      <c r="L34" s="325"/>
      <c r="M34" s="38"/>
      <c r="N34" s="305"/>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06"/>
      <c r="AM34" s="306"/>
      <c r="AN34" s="306"/>
      <c r="AO34" s="306"/>
      <c r="AP34" s="306"/>
      <c r="AQ34" s="306"/>
      <c r="AR34" s="306"/>
      <c r="AS34" s="306"/>
      <c r="AT34" s="306"/>
      <c r="AU34" s="306"/>
      <c r="AV34" s="306"/>
      <c r="AW34" s="306"/>
      <c r="AX34" s="306"/>
      <c r="AY34" s="306"/>
      <c r="AZ34" s="306"/>
      <c r="BA34" s="306"/>
      <c r="BB34" s="306"/>
      <c r="BC34" s="306"/>
      <c r="BD34" s="306"/>
      <c r="BE34" s="306"/>
      <c r="BF34" s="306"/>
      <c r="BG34" s="306"/>
      <c r="BH34" s="306"/>
      <c r="BI34" s="306"/>
      <c r="BJ34" s="306"/>
      <c r="BK34" s="306"/>
      <c r="BL34" s="306"/>
      <c r="BM34" s="306"/>
      <c r="BN34" s="306"/>
      <c r="BO34" s="306"/>
      <c r="BP34" s="306"/>
      <c r="BQ34" s="306"/>
      <c r="BR34" s="306"/>
      <c r="BS34" s="306"/>
      <c r="BT34" s="306"/>
      <c r="BU34" s="306"/>
      <c r="BV34" s="306"/>
      <c r="BW34" s="306"/>
      <c r="BX34" s="306"/>
      <c r="BY34" s="306"/>
      <c r="BZ34" s="306"/>
      <c r="CA34" s="306"/>
      <c r="CB34" s="306"/>
      <c r="CC34" s="306"/>
      <c r="CD34" s="306"/>
      <c r="CE34" s="306"/>
      <c r="CF34" s="306"/>
      <c r="CG34" s="306"/>
      <c r="CH34" s="306"/>
      <c r="CI34" s="306"/>
      <c r="CJ34" s="306"/>
    </row>
    <row r="35" spans="1:14" ht="11.25" customHeight="1" thickBot="1">
      <c r="A35" s="302"/>
      <c r="B35" s="43"/>
      <c r="C35" s="43"/>
      <c r="D35" s="43"/>
      <c r="E35" s="37"/>
      <c r="F35" s="44"/>
      <c r="G35" s="44"/>
      <c r="H35" s="44"/>
      <c r="I35" s="44"/>
      <c r="J35" s="44"/>
      <c r="K35" s="44"/>
      <c r="L35" s="15"/>
      <c r="M35" s="15"/>
      <c r="N35" s="305"/>
    </row>
    <row r="36" spans="1:14" ht="27.75" customHeight="1">
      <c r="A36" s="303"/>
      <c r="B36" s="46" t="s">
        <v>248</v>
      </c>
      <c r="C36" s="787" t="s">
        <v>249</v>
      </c>
      <c r="D36" s="788"/>
      <c r="E36" s="788"/>
      <c r="F36" s="788"/>
      <c r="G36" s="788" t="s">
        <v>250</v>
      </c>
      <c r="H36" s="788"/>
      <c r="I36" s="788"/>
      <c r="J36" s="788"/>
      <c r="K36" s="788"/>
      <c r="L36" s="771" t="s">
        <v>251</v>
      </c>
      <c r="M36" s="771"/>
      <c r="N36" s="305"/>
    </row>
    <row r="37" spans="1:14" ht="57" customHeight="1">
      <c r="A37" s="302"/>
      <c r="B37" s="47">
        <v>1</v>
      </c>
      <c r="C37" s="772" t="str">
        <f>E33</f>
        <v>State Bank of India, Pathikonda</v>
      </c>
      <c r="D37" s="773"/>
      <c r="E37" s="773"/>
      <c r="F37" s="774"/>
      <c r="G37" s="775" t="str">
        <f>CONCATENATE(" AAS Arrears"," ( ",DATA!Q190," years "," ) ",DATA!T131,DATA!E3,", ",DATA!V121,".")</f>
        <v> AAS Arrears ( 12 years  ) Sri.K.Chandra sekhar, Sr.Asst..</v>
      </c>
      <c r="H37" s="775"/>
      <c r="I37" s="775"/>
      <c r="J37" s="775"/>
      <c r="K37" s="775"/>
      <c r="L37" s="776">
        <f>Bill!Z12</f>
        <v>954</v>
      </c>
      <c r="M37" s="776"/>
      <c r="N37" s="305"/>
    </row>
    <row r="38" spans="1:14" ht="22.5" customHeight="1" thickBot="1">
      <c r="A38" s="302"/>
      <c r="B38" s="780" t="s">
        <v>77</v>
      </c>
      <c r="C38" s="781"/>
      <c r="D38" s="781"/>
      <c r="E38" s="781"/>
      <c r="F38" s="781"/>
      <c r="G38" s="781"/>
      <c r="H38" s="781"/>
      <c r="I38" s="781"/>
      <c r="J38" s="781"/>
      <c r="K38" s="782"/>
      <c r="L38" s="779">
        <f>$L$37</f>
        <v>954</v>
      </c>
      <c r="M38" s="779"/>
      <c r="N38" s="305"/>
    </row>
    <row r="39" spans="1:14" ht="15">
      <c r="A39" s="302"/>
      <c r="B39" s="48"/>
      <c r="C39" s="49"/>
      <c r="D39" s="49"/>
      <c r="E39" s="49"/>
      <c r="F39" s="49"/>
      <c r="G39" s="50"/>
      <c r="H39" s="50"/>
      <c r="I39" s="50"/>
      <c r="J39" s="50"/>
      <c r="K39" s="50"/>
      <c r="L39" s="51"/>
      <c r="M39" s="51"/>
      <c r="N39" s="305"/>
    </row>
    <row r="40" spans="1:14" ht="15">
      <c r="A40" s="302"/>
      <c r="B40" s="52" t="s">
        <v>391</v>
      </c>
      <c r="C40" s="38"/>
      <c r="D40" s="777" t="str">
        <f>D15</f>
        <v>    Nine Hundred and Fifty Four rupees only </v>
      </c>
      <c r="E40" s="777"/>
      <c r="F40" s="777"/>
      <c r="G40" s="777"/>
      <c r="H40" s="777"/>
      <c r="I40" s="777"/>
      <c r="J40" s="777"/>
      <c r="K40" s="777"/>
      <c r="L40" s="777"/>
      <c r="M40" s="777"/>
      <c r="N40" s="305"/>
    </row>
    <row r="41" spans="1:14" ht="15">
      <c r="A41" s="302"/>
      <c r="B41" s="52"/>
      <c r="C41" s="15"/>
      <c r="D41" s="53"/>
      <c r="E41" s="53"/>
      <c r="F41" s="53"/>
      <c r="G41" s="53"/>
      <c r="H41" s="53"/>
      <c r="I41" s="53"/>
      <c r="J41" s="53"/>
      <c r="K41" s="53"/>
      <c r="L41" s="53"/>
      <c r="M41" s="53"/>
      <c r="N41" s="305"/>
    </row>
    <row r="42" spans="1:14" ht="15">
      <c r="A42" s="302"/>
      <c r="B42" s="52"/>
      <c r="C42" s="15"/>
      <c r="D42" s="53"/>
      <c r="E42" s="53"/>
      <c r="F42" s="53"/>
      <c r="G42" s="53"/>
      <c r="H42" s="53"/>
      <c r="I42" s="53"/>
      <c r="J42" s="53"/>
      <c r="K42" s="53"/>
      <c r="L42" s="53"/>
      <c r="M42" s="53"/>
      <c r="N42" s="305"/>
    </row>
    <row r="43" spans="1:14" ht="15">
      <c r="A43" s="302"/>
      <c r="B43" s="58"/>
      <c r="C43" s="58"/>
      <c r="D43" s="58"/>
      <c r="E43" s="58"/>
      <c r="F43" s="58"/>
      <c r="G43" s="15"/>
      <c r="H43" s="15"/>
      <c r="I43" s="15"/>
      <c r="J43" s="15"/>
      <c r="K43" s="15"/>
      <c r="L43" s="15"/>
      <c r="M43" s="15"/>
      <c r="N43" s="305"/>
    </row>
    <row r="44" spans="1:14" ht="15">
      <c r="A44" s="302"/>
      <c r="B44" s="43"/>
      <c r="C44" s="15"/>
      <c r="D44" s="15"/>
      <c r="E44" s="15"/>
      <c r="F44" s="15"/>
      <c r="G44" s="15"/>
      <c r="H44" s="15"/>
      <c r="I44" s="15"/>
      <c r="J44" s="15"/>
      <c r="K44" s="15"/>
      <c r="L44" s="15"/>
      <c r="M44" s="15"/>
      <c r="N44" s="305"/>
    </row>
    <row r="45" spans="1:14" ht="15">
      <c r="A45" s="302"/>
      <c r="B45" s="31" t="s">
        <v>238</v>
      </c>
      <c r="C45" s="31"/>
      <c r="D45" s="31"/>
      <c r="E45" s="15"/>
      <c r="F45" s="15"/>
      <c r="G45" s="15"/>
      <c r="H45" s="15"/>
      <c r="I45" s="778" t="s">
        <v>239</v>
      </c>
      <c r="J45" s="778"/>
      <c r="K45" s="778"/>
      <c r="L45" s="778"/>
      <c r="M45" s="778"/>
      <c r="N45" s="305"/>
    </row>
    <row r="46" spans="1:14" ht="15">
      <c r="A46" s="302"/>
      <c r="B46" s="15"/>
      <c r="C46" s="15"/>
      <c r="D46" s="15"/>
      <c r="E46" s="15"/>
      <c r="F46" s="15"/>
      <c r="G46" s="15"/>
      <c r="H46" s="15"/>
      <c r="I46" s="15"/>
      <c r="J46" s="15"/>
      <c r="K46" s="15"/>
      <c r="L46" s="15"/>
      <c r="M46" s="15"/>
      <c r="N46" s="305"/>
    </row>
    <row r="47" spans="1:14" ht="15">
      <c r="A47" s="304"/>
      <c r="B47" s="59"/>
      <c r="C47" s="59"/>
      <c r="D47" s="59"/>
      <c r="E47" s="59"/>
      <c r="F47" s="59"/>
      <c r="G47" s="59"/>
      <c r="H47" s="59"/>
      <c r="I47" s="59"/>
      <c r="J47" s="59"/>
      <c r="K47" s="59"/>
      <c r="L47" s="59"/>
      <c r="M47" s="59"/>
      <c r="N47" s="305"/>
    </row>
    <row r="48" spans="1:14" ht="15">
      <c r="A48" s="305"/>
      <c r="B48" s="6"/>
      <c r="C48" s="6"/>
      <c r="D48" s="6"/>
      <c r="E48" s="6"/>
      <c r="F48" s="6"/>
      <c r="G48" s="6"/>
      <c r="H48" s="6"/>
      <c r="I48" s="6"/>
      <c r="J48" s="6"/>
      <c r="K48" s="6"/>
      <c r="L48" s="6"/>
      <c r="M48" s="6"/>
      <c r="N48" s="305"/>
    </row>
    <row r="49" spans="1:14" ht="15">
      <c r="A49" s="305"/>
      <c r="B49" s="6"/>
      <c r="C49" s="6"/>
      <c r="D49" s="6"/>
      <c r="E49" s="6"/>
      <c r="F49" s="6"/>
      <c r="G49" s="6"/>
      <c r="H49" s="6"/>
      <c r="I49" s="6"/>
      <c r="J49" s="6"/>
      <c r="K49" s="6"/>
      <c r="L49" s="6"/>
      <c r="M49" s="6"/>
      <c r="N49" s="305"/>
    </row>
    <row r="50" spans="1:14" s="306" customFormat="1" ht="15">
      <c r="A50" s="305"/>
      <c r="B50" s="305"/>
      <c r="C50" s="305"/>
      <c r="D50" s="305"/>
      <c r="E50" s="305"/>
      <c r="F50" s="305"/>
      <c r="G50" s="305"/>
      <c r="H50" s="305"/>
      <c r="I50" s="305"/>
      <c r="J50" s="305"/>
      <c r="K50" s="305"/>
      <c r="L50" s="305"/>
      <c r="M50" s="305"/>
      <c r="N50" s="305"/>
    </row>
    <row r="51" s="306" customFormat="1" ht="15"/>
    <row r="52" s="306" customFormat="1" ht="15"/>
    <row r="53" s="306" customFormat="1" ht="15"/>
    <row r="54" s="306" customFormat="1" ht="15"/>
    <row r="55" s="306" customFormat="1" ht="15"/>
    <row r="56" s="306" customFormat="1" ht="15"/>
    <row r="57" s="306" customFormat="1" ht="15"/>
    <row r="58" s="306" customFormat="1" ht="15"/>
    <row r="59" s="306" customFormat="1" ht="15"/>
    <row r="60" s="306" customFormat="1" ht="15"/>
    <row r="61" s="306" customFormat="1" ht="15"/>
    <row r="62" s="306" customFormat="1" ht="15"/>
    <row r="63" s="306" customFormat="1" ht="15"/>
    <row r="64" s="306" customFormat="1" ht="15"/>
    <row r="65" s="306" customFormat="1" ht="15"/>
    <row r="66" s="306" customFormat="1" ht="15"/>
    <row r="67" s="306" customFormat="1" ht="15"/>
    <row r="68" s="306" customFormat="1" ht="15"/>
    <row r="69" s="306" customFormat="1" ht="15"/>
    <row r="70" s="306" customFormat="1" ht="15"/>
    <row r="71" s="306" customFormat="1" ht="15"/>
    <row r="72" s="306" customFormat="1" ht="15"/>
    <row r="73" s="306" customFormat="1" ht="15"/>
    <row r="74" s="306" customFormat="1" ht="15"/>
    <row r="75" s="306" customFormat="1" ht="15"/>
    <row r="76" s="306" customFormat="1" ht="15"/>
    <row r="77" s="306" customFormat="1" ht="15"/>
    <row r="78" s="306" customFormat="1" ht="15"/>
    <row r="79" s="306" customFormat="1" ht="15"/>
    <row r="80" s="306" customFormat="1" ht="15"/>
    <row r="81" s="306" customFormat="1" ht="15"/>
    <row r="82" s="306" customFormat="1" ht="15"/>
    <row r="83" s="306" customFormat="1" ht="15"/>
    <row r="84" s="306" customFormat="1" ht="15"/>
    <row r="85" s="306" customFormat="1" ht="15"/>
    <row r="86" s="306" customFormat="1" ht="15"/>
    <row r="87" s="306" customFormat="1" ht="15"/>
    <row r="88" s="306" customFormat="1" ht="15"/>
    <row r="89" s="306" customFormat="1" ht="15"/>
    <row r="90" s="306" customFormat="1" ht="15"/>
    <row r="91" s="306" customFormat="1" ht="15"/>
    <row r="92" s="306" customFormat="1" ht="15"/>
    <row r="93" s="306" customFormat="1" ht="15"/>
    <row r="94" s="306" customFormat="1" ht="15"/>
    <row r="95" s="306" customFormat="1" ht="15"/>
    <row r="96" s="306" customFormat="1" ht="15"/>
    <row r="97" s="306" customFormat="1" ht="15"/>
    <row r="98" s="306" customFormat="1" ht="15"/>
    <row r="99" s="306" customFormat="1" ht="15"/>
    <row r="100" s="306" customFormat="1" ht="15"/>
    <row r="101" s="306" customFormat="1" ht="15"/>
    <row r="102" s="306" customFormat="1" ht="15"/>
    <row r="103" s="306" customFormat="1" ht="15"/>
    <row r="104" s="306" customFormat="1" ht="15"/>
    <row r="105" s="306" customFormat="1" ht="15"/>
    <row r="106" s="306" customFormat="1" ht="15"/>
    <row r="107" s="306" customFormat="1" ht="15"/>
    <row r="108" s="306" customFormat="1" ht="15"/>
    <row r="109" s="306" customFormat="1" ht="15"/>
    <row r="110" s="306" customFormat="1" ht="15"/>
    <row r="111" s="306" customFormat="1" ht="15"/>
    <row r="112" s="306" customFormat="1" ht="15"/>
    <row r="113" s="306" customFormat="1" ht="15"/>
    <row r="114" s="306" customFormat="1" ht="15"/>
    <row r="115" s="306" customFormat="1" ht="15"/>
    <row r="116" s="306" customFormat="1" ht="15"/>
    <row r="117" s="306" customFormat="1" ht="15"/>
    <row r="118" s="306" customFormat="1" ht="15"/>
    <row r="119" s="306" customFormat="1" ht="15"/>
    <row r="120" s="306" customFormat="1" ht="15"/>
    <row r="121" s="306" customFormat="1" ht="15"/>
    <row r="122" s="306" customFormat="1" ht="15"/>
    <row r="123" s="306" customFormat="1" ht="15"/>
    <row r="124" s="306" customFormat="1" ht="15"/>
    <row r="125" s="306" customFormat="1" ht="15"/>
    <row r="126" s="306" customFormat="1" ht="15"/>
    <row r="127" s="306" customFormat="1" ht="15"/>
    <row r="128" s="306" customFormat="1" ht="15"/>
    <row r="129" s="306" customFormat="1" ht="15"/>
    <row r="130" s="306" customFormat="1" ht="15"/>
    <row r="131" s="306" customFormat="1" ht="15"/>
    <row r="132" s="306" customFormat="1" ht="15"/>
    <row r="133" s="306" customFormat="1" ht="15"/>
    <row r="134" s="306" customFormat="1" ht="15"/>
    <row r="135" s="306" customFormat="1" ht="15"/>
    <row r="136" s="306" customFormat="1" ht="15"/>
    <row r="137" s="306" customFormat="1" ht="15"/>
    <row r="138" s="306" customFormat="1" ht="15"/>
    <row r="139" s="306" customFormat="1" ht="15"/>
    <row r="140" s="306" customFormat="1" ht="15"/>
    <row r="141" s="306" customFormat="1" ht="15"/>
    <row r="142" s="306" customFormat="1" ht="15"/>
    <row r="143" s="306" customFormat="1" ht="15"/>
    <row r="144" s="306" customFormat="1" ht="15"/>
    <row r="145" s="306" customFormat="1" ht="15"/>
    <row r="146" s="306" customFormat="1" ht="15"/>
    <row r="147" s="306" customFormat="1" ht="15"/>
    <row r="148" s="306" customFormat="1" ht="15"/>
    <row r="149" s="306" customFormat="1" ht="15"/>
    <row r="150" s="306" customFormat="1" ht="15"/>
    <row r="151" s="306" customFormat="1" ht="15"/>
    <row r="152" s="306" customFormat="1" ht="15"/>
    <row r="153" s="306" customFormat="1" ht="15"/>
    <row r="154" s="306" customFormat="1" ht="15"/>
    <row r="155" s="306" customFormat="1" ht="15"/>
    <row r="156" s="306" customFormat="1" ht="15"/>
    <row r="157" s="306" customFormat="1" ht="15"/>
    <row r="158" s="306" customFormat="1" ht="15"/>
    <row r="159" s="306" customFormat="1" ht="15"/>
    <row r="160" s="306" customFormat="1" ht="15"/>
    <row r="161" s="306" customFormat="1" ht="15"/>
    <row r="162" s="306" customFormat="1" ht="15"/>
    <row r="163" s="306" customFormat="1" ht="15"/>
    <row r="164" s="306" customFormat="1" ht="15"/>
    <row r="165" s="306" customFormat="1" ht="15"/>
    <row r="166" s="306" customFormat="1" ht="15"/>
    <row r="167" s="306" customFormat="1" ht="15"/>
    <row r="168" s="306" customFormat="1" ht="15"/>
    <row r="169" s="306" customFormat="1" ht="15"/>
    <row r="170" s="306" customFormat="1" ht="15"/>
    <row r="171" s="306" customFormat="1" ht="15"/>
    <row r="172" s="306" customFormat="1" ht="15"/>
    <row r="173" s="306" customFormat="1" ht="15"/>
    <row r="174" s="306" customFormat="1" ht="15"/>
    <row r="175" s="306" customFormat="1" ht="15"/>
    <row r="176" s="306" customFormat="1" ht="15"/>
    <row r="177" s="306" customFormat="1" ht="15"/>
    <row r="178" s="306" customFormat="1" ht="15"/>
    <row r="179" s="306" customFormat="1" ht="15"/>
    <row r="180" s="306" customFormat="1" ht="15"/>
    <row r="181" s="306" customFormat="1" ht="15"/>
    <row r="182" s="306" customFormat="1" ht="15"/>
    <row r="183" s="306" customFormat="1" ht="15"/>
    <row r="184" s="306" customFormat="1" ht="15"/>
    <row r="185" s="306" customFormat="1" ht="15"/>
    <row r="186" s="306" customFormat="1" ht="15"/>
    <row r="187" s="306" customFormat="1" ht="15"/>
    <row r="188" s="306" customFormat="1" ht="15"/>
    <row r="189" s="306" customFormat="1" ht="15"/>
    <row r="190" s="306" customFormat="1" ht="15"/>
    <row r="191" s="306" customFormat="1" ht="15"/>
    <row r="192" s="306" customFormat="1" ht="15"/>
    <row r="193" s="306" customFormat="1" ht="15"/>
    <row r="194" s="306" customFormat="1" ht="15"/>
    <row r="195" s="306" customFormat="1" ht="15"/>
    <row r="196" s="306" customFormat="1" ht="15"/>
    <row r="197" s="306" customFormat="1" ht="15"/>
    <row r="198" s="306" customFormat="1" ht="15"/>
    <row r="199" s="306" customFormat="1" ht="15"/>
    <row r="200" s="306" customFormat="1" ht="15"/>
    <row r="201" s="306" customFormat="1" ht="15"/>
    <row r="202" s="306" customFormat="1" ht="15"/>
    <row r="203" s="306" customFormat="1" ht="15"/>
    <row r="204" s="306" customFormat="1" ht="15"/>
    <row r="205" s="306" customFormat="1" ht="15"/>
    <row r="206" s="306" customFormat="1" ht="15"/>
    <row r="207" s="306" customFormat="1" ht="15"/>
    <row r="208" s="306" customFormat="1" ht="15"/>
    <row r="209" s="306" customFormat="1" ht="15"/>
    <row r="210" s="306" customFormat="1" ht="15"/>
    <row r="211" s="306" customFormat="1" ht="15"/>
    <row r="212" s="306" customFormat="1" ht="15"/>
    <row r="213" s="306" customFormat="1" ht="15"/>
    <row r="214" s="306" customFormat="1" ht="15"/>
    <row r="215" s="306" customFormat="1" ht="15"/>
    <row r="216" s="306" customFormat="1" ht="15"/>
    <row r="217" s="306" customFormat="1" ht="15"/>
    <row r="218" s="306" customFormat="1" ht="15"/>
    <row r="219" s="306" customFormat="1" ht="15"/>
    <row r="220" s="306" customFormat="1" ht="15"/>
    <row r="221" s="306" customFormat="1" ht="15"/>
    <row r="222" s="306" customFormat="1" ht="15"/>
    <row r="223" s="306" customFormat="1" ht="15"/>
    <row r="224" s="306" customFormat="1" ht="15"/>
    <row r="225" s="306" customFormat="1" ht="15"/>
    <row r="226" s="306" customFormat="1" ht="15"/>
    <row r="227" s="306" customFormat="1" ht="15"/>
    <row r="228" s="306" customFormat="1" ht="15"/>
    <row r="229" s="306" customFormat="1" ht="15"/>
    <row r="230" s="306" customFormat="1" ht="15"/>
    <row r="231" s="306" customFormat="1" ht="15"/>
    <row r="232" s="306" customFormat="1" ht="15"/>
    <row r="233" s="306" customFormat="1" ht="15"/>
    <row r="234" s="306" customFormat="1" ht="15"/>
    <row r="235" s="306" customFormat="1" ht="15"/>
    <row r="236" s="306" customFormat="1" ht="15"/>
    <row r="237" s="306" customFormat="1" ht="15"/>
    <row r="238" s="306" customFormat="1" ht="15"/>
    <row r="239" s="306" customFormat="1" ht="15"/>
    <row r="240" s="306" customFormat="1" ht="15"/>
    <row r="241" s="306" customFormat="1" ht="15"/>
    <row r="242" s="306" customFormat="1" ht="15"/>
    <row r="243" s="306" customFormat="1" ht="15"/>
    <row r="244" s="306" customFormat="1" ht="15"/>
    <row r="245" s="306" customFormat="1" ht="15"/>
    <row r="246" s="306" customFormat="1" ht="15"/>
    <row r="247" s="306" customFormat="1" ht="15"/>
    <row r="248" s="306" customFormat="1" ht="15"/>
    <row r="249" s="306" customFormat="1" ht="15"/>
    <row r="250" s="306" customFormat="1" ht="15"/>
    <row r="251" s="306" customFormat="1" ht="15"/>
    <row r="252" s="306" customFormat="1" ht="15"/>
    <row r="253" s="306" customFormat="1" ht="15"/>
    <row r="254" s="306" customFormat="1" ht="15"/>
    <row r="255" s="306" customFormat="1" ht="15"/>
    <row r="256" s="306" customFormat="1" ht="15"/>
    <row r="257" s="306" customFormat="1" ht="15"/>
    <row r="258" s="306" customFormat="1" ht="15"/>
    <row r="259" s="306" customFormat="1" ht="15"/>
    <row r="260" s="306" customFormat="1" ht="15"/>
    <row r="261" s="306" customFormat="1" ht="15"/>
    <row r="262" s="306" customFormat="1" ht="15"/>
    <row r="263" s="306" customFormat="1" ht="15"/>
    <row r="264" s="306" customFormat="1" ht="15"/>
    <row r="265" s="306" customFormat="1" ht="15"/>
    <row r="266" s="306" customFormat="1" ht="15"/>
    <row r="267" s="306" customFormat="1" ht="15"/>
    <row r="268" s="306" customFormat="1" ht="15"/>
    <row r="269" s="306" customFormat="1" ht="15"/>
    <row r="270" s="306" customFormat="1" ht="15"/>
    <row r="271" s="306" customFormat="1" ht="15"/>
    <row r="272" s="306" customFormat="1" ht="15"/>
    <row r="273" s="306" customFormat="1" ht="15"/>
    <row r="274" s="306" customFormat="1" ht="15"/>
    <row r="275" s="306" customFormat="1" ht="15"/>
    <row r="276" s="306" customFormat="1" ht="15"/>
    <row r="277" s="306" customFormat="1" ht="15"/>
    <row r="278" s="306" customFormat="1" ht="15"/>
    <row r="279" s="306" customFormat="1" ht="15"/>
    <row r="280" s="306" customFormat="1" ht="15"/>
    <row r="281" s="306" customFormat="1" ht="15"/>
    <row r="282" s="306" customFormat="1" ht="15"/>
    <row r="283" s="306" customFormat="1" ht="15"/>
    <row r="284" s="306" customFormat="1" ht="15"/>
    <row r="285" s="306" customFormat="1" ht="15"/>
    <row r="286" s="306" customFormat="1" ht="15"/>
    <row r="287" s="306" customFormat="1" ht="15"/>
    <row r="288" s="306" customFormat="1" ht="15"/>
    <row r="289" s="306" customFormat="1" ht="15"/>
    <row r="290" s="306" customFormat="1" ht="15"/>
    <row r="291" s="306" customFormat="1" ht="15"/>
    <row r="292" s="306" customFormat="1" ht="15"/>
    <row r="293" s="306" customFormat="1" ht="15"/>
    <row r="294" s="306" customFormat="1" ht="15"/>
    <row r="295" s="306" customFormat="1" ht="15"/>
    <row r="296" s="306" customFormat="1" ht="15"/>
    <row r="297" s="306" customFormat="1" ht="15"/>
    <row r="298" s="306" customFormat="1" ht="15"/>
    <row r="299" s="306" customFormat="1" ht="15"/>
    <row r="300" s="306" customFormat="1" ht="15"/>
    <row r="301" s="306" customFormat="1" ht="15"/>
    <row r="302" s="306" customFormat="1" ht="15"/>
    <row r="303" s="306" customFormat="1" ht="15"/>
    <row r="304" s="306" customFormat="1" ht="15"/>
    <row r="305" s="306" customFormat="1" ht="15"/>
    <row r="306" s="306" customFormat="1" ht="15"/>
    <row r="307" s="306" customFormat="1" ht="15"/>
    <row r="308" s="306" customFormat="1" ht="15"/>
    <row r="309" s="306" customFormat="1" ht="15"/>
    <row r="310" s="306" customFormat="1" ht="15"/>
    <row r="311" s="306" customFormat="1" ht="15"/>
    <row r="312" s="306" customFormat="1" ht="15"/>
    <row r="313" s="306" customFormat="1" ht="15"/>
    <row r="314" s="306" customFormat="1" ht="15"/>
    <row r="315" s="306" customFormat="1" ht="15"/>
    <row r="316" s="306" customFormat="1" ht="15"/>
  </sheetData>
  <sheetProtection password="E69A" sheet="1" objects="1" scenarios="1" selectLockedCells="1"/>
  <mergeCells count="39">
    <mergeCell ref="E9:K9"/>
    <mergeCell ref="B2:M2"/>
    <mergeCell ref="B3:M3"/>
    <mergeCell ref="L7:M7"/>
    <mergeCell ref="E8:G8"/>
    <mergeCell ref="E7:I7"/>
    <mergeCell ref="D10:F10"/>
    <mergeCell ref="I10:K10"/>
    <mergeCell ref="L10:M10"/>
    <mergeCell ref="B11:B12"/>
    <mergeCell ref="C11:C12"/>
    <mergeCell ref="D11:F12"/>
    <mergeCell ref="G11:G12"/>
    <mergeCell ref="I11:K12"/>
    <mergeCell ref="L11:M12"/>
    <mergeCell ref="H11:H12"/>
    <mergeCell ref="B27:M27"/>
    <mergeCell ref="L13:M13"/>
    <mergeCell ref="D15:M15"/>
    <mergeCell ref="B30:C30"/>
    <mergeCell ref="B31:C31"/>
    <mergeCell ref="L31:M31"/>
    <mergeCell ref="B25:M25"/>
    <mergeCell ref="B26:M26"/>
    <mergeCell ref="B13:K13"/>
    <mergeCell ref="B33:C33"/>
    <mergeCell ref="E33:G33"/>
    <mergeCell ref="E32:J32"/>
    <mergeCell ref="E31:I31"/>
    <mergeCell ref="C36:F36"/>
    <mergeCell ref="G36:K36"/>
    <mergeCell ref="L36:M36"/>
    <mergeCell ref="C37:F37"/>
    <mergeCell ref="G37:K37"/>
    <mergeCell ref="L37:M37"/>
    <mergeCell ref="D40:M40"/>
    <mergeCell ref="I45:M45"/>
    <mergeCell ref="L38:M38"/>
    <mergeCell ref="B38:K38"/>
  </mergeCells>
  <printOptions/>
  <pageMargins left="0.36" right="0.35" top="0.42" bottom="0.39" header="0.25" footer="0.26"/>
  <pageSetup horizontalDpi="300" verticalDpi="300" orientation="portrait" paperSize="9" scale="95" r:id="rId4"/>
  <ignoredErrors>
    <ignoredError sqref="E31 E33" unlockedFormula="1"/>
  </ignoredErrors>
  <drawing r:id="rId3"/>
  <legacyDrawing r:id="rId2"/>
</worksheet>
</file>

<file path=xl/worksheets/sheet8.xml><?xml version="1.0" encoding="utf-8"?>
<worksheet xmlns="http://schemas.openxmlformats.org/spreadsheetml/2006/main" xmlns:r="http://schemas.openxmlformats.org/officeDocument/2006/relationships">
  <sheetPr>
    <tabColor rgb="FFFFC000"/>
  </sheetPr>
  <dimension ref="A1:Q43"/>
  <sheetViews>
    <sheetView showGridLines="0" showRowColHeaders="0" zoomScalePageLayoutView="0" workbookViewId="0" topLeftCell="A1">
      <selection activeCell="S7" sqref="S7"/>
    </sheetView>
  </sheetViews>
  <sheetFormatPr defaultColWidth="9.140625" defaultRowHeight="15"/>
  <cols>
    <col min="1" max="1" width="3.8515625" style="0" customWidth="1"/>
    <col min="2" max="2" width="5.8515625" style="0" customWidth="1"/>
    <col min="3" max="3" width="5.421875" style="0" customWidth="1"/>
    <col min="4" max="4" width="4.57421875" style="0" customWidth="1"/>
    <col min="5" max="10" width="5.57421875" style="0" customWidth="1"/>
    <col min="11" max="11" width="6.28125" style="0" customWidth="1"/>
    <col min="12" max="12" width="5.57421875" style="0" customWidth="1"/>
    <col min="13" max="13" width="8.140625" style="0" customWidth="1"/>
    <col min="14" max="17" width="5.57421875" style="0" customWidth="1"/>
  </cols>
  <sheetData>
    <row r="1" spans="1:17" ht="16.5" thickTop="1">
      <c r="A1" s="69"/>
      <c r="B1" s="70"/>
      <c r="C1" s="71"/>
      <c r="D1" s="71"/>
      <c r="E1" s="71"/>
      <c r="F1" s="71"/>
      <c r="G1" s="71"/>
      <c r="H1" s="72"/>
      <c r="I1" s="72"/>
      <c r="J1" s="72"/>
      <c r="K1" s="72"/>
      <c r="L1" s="72"/>
      <c r="M1" s="72"/>
      <c r="N1" s="72"/>
      <c r="O1" s="72"/>
      <c r="P1" s="72"/>
      <c r="Q1" s="73"/>
    </row>
    <row r="2" spans="1:17" ht="18.75">
      <c r="A2" s="825" t="s">
        <v>450</v>
      </c>
      <c r="B2" s="842"/>
      <c r="C2" s="842"/>
      <c r="D2" s="842"/>
      <c r="E2" s="842"/>
      <c r="F2" s="842"/>
      <c r="G2" s="842"/>
      <c r="H2" s="842"/>
      <c r="I2" s="842"/>
      <c r="J2" s="842"/>
      <c r="K2" s="842"/>
      <c r="L2" s="842"/>
      <c r="M2" s="842"/>
      <c r="N2" s="842"/>
      <c r="O2" s="842"/>
      <c r="P2" s="842"/>
      <c r="Q2" s="843"/>
    </row>
    <row r="3" spans="1:17" ht="15">
      <c r="A3" s="828" t="s">
        <v>451</v>
      </c>
      <c r="B3" s="792"/>
      <c r="C3" s="792"/>
      <c r="D3" s="792"/>
      <c r="E3" s="792"/>
      <c r="F3" s="792"/>
      <c r="G3" s="792"/>
      <c r="H3" s="792"/>
      <c r="I3" s="792"/>
      <c r="J3" s="792"/>
      <c r="K3" s="792"/>
      <c r="L3" s="792"/>
      <c r="M3" s="792"/>
      <c r="N3" s="792"/>
      <c r="O3" s="792"/>
      <c r="P3" s="792"/>
      <c r="Q3" s="829"/>
    </row>
    <row r="4" spans="1:17" ht="15">
      <c r="A4" s="844" t="s">
        <v>452</v>
      </c>
      <c r="B4" s="845"/>
      <c r="C4" s="845"/>
      <c r="D4" s="845"/>
      <c r="E4" s="845"/>
      <c r="F4" s="845"/>
      <c r="G4" s="845"/>
      <c r="H4" s="845"/>
      <c r="I4" s="845"/>
      <c r="J4" s="845"/>
      <c r="K4" s="845"/>
      <c r="L4" s="845"/>
      <c r="M4" s="845"/>
      <c r="N4" s="845"/>
      <c r="O4" s="845"/>
      <c r="P4" s="845"/>
      <c r="Q4" s="846"/>
    </row>
    <row r="5" spans="1:17" ht="15">
      <c r="A5" s="844"/>
      <c r="B5" s="845"/>
      <c r="C5" s="845"/>
      <c r="D5" s="845"/>
      <c r="E5" s="845"/>
      <c r="F5" s="845"/>
      <c r="G5" s="845"/>
      <c r="H5" s="845"/>
      <c r="I5" s="845"/>
      <c r="J5" s="845"/>
      <c r="K5" s="845"/>
      <c r="L5" s="845"/>
      <c r="M5" s="845"/>
      <c r="N5" s="845"/>
      <c r="O5" s="845"/>
      <c r="P5" s="845"/>
      <c r="Q5" s="846"/>
    </row>
    <row r="6" spans="1:17" ht="15.75">
      <c r="A6" s="74"/>
      <c r="B6" s="75"/>
      <c r="C6" s="38"/>
      <c r="D6" s="38"/>
      <c r="E6" s="38"/>
      <c r="F6" s="38"/>
      <c r="G6" s="38"/>
      <c r="H6" s="38"/>
      <c r="I6" s="38"/>
      <c r="J6" s="38"/>
      <c r="K6" s="38"/>
      <c r="L6" s="38"/>
      <c r="M6" s="38"/>
      <c r="N6" s="38"/>
      <c r="O6" s="38"/>
      <c r="P6" s="38"/>
      <c r="Q6" s="76"/>
    </row>
    <row r="7" spans="1:17" ht="19.5" customHeight="1">
      <c r="A7" s="839" t="str">
        <f>Bill!B2</f>
        <v> AAS  ( 12 years ) Arrears bill of  Sri. K.Chandra sekhar ,Sr.Asst. ,Mandal Parishad ,Jonnagiri, Tuggali ( Mandal ).</v>
      </c>
      <c r="B7" s="840"/>
      <c r="C7" s="840"/>
      <c r="D7" s="840"/>
      <c r="E7" s="840"/>
      <c r="F7" s="840"/>
      <c r="G7" s="840"/>
      <c r="H7" s="840"/>
      <c r="I7" s="840"/>
      <c r="J7" s="840"/>
      <c r="K7" s="840"/>
      <c r="L7" s="840"/>
      <c r="M7" s="840"/>
      <c r="N7" s="840"/>
      <c r="O7" s="840"/>
      <c r="P7" s="840"/>
      <c r="Q7" s="841"/>
    </row>
    <row r="8" spans="1:17" ht="15" customHeight="1">
      <c r="A8" s="74"/>
      <c r="C8" s="96"/>
      <c r="D8" s="96"/>
      <c r="E8" s="96"/>
      <c r="F8" s="96"/>
      <c r="G8" s="818" t="s">
        <v>456</v>
      </c>
      <c r="H8" s="818"/>
      <c r="I8" s="818"/>
      <c r="J8" s="847">
        <f>DATA!AB117</f>
        <v>41699</v>
      </c>
      <c r="K8" s="847"/>
      <c r="L8" s="847"/>
      <c r="M8" s="96"/>
      <c r="N8" s="96"/>
      <c r="O8" s="96"/>
      <c r="P8" s="96"/>
      <c r="Q8" s="76"/>
    </row>
    <row r="9" spans="1:17" ht="15.75">
      <c r="A9" s="74"/>
      <c r="B9" s="77"/>
      <c r="C9" s="78"/>
      <c r="D9" s="78"/>
      <c r="E9" s="78"/>
      <c r="F9" s="78"/>
      <c r="G9" s="78"/>
      <c r="H9" s="38"/>
      <c r="I9" s="38"/>
      <c r="J9" s="38"/>
      <c r="K9" s="38"/>
      <c r="L9" s="38"/>
      <c r="M9" s="38"/>
      <c r="N9" s="38"/>
      <c r="O9" s="38"/>
      <c r="P9" s="38"/>
      <c r="Q9" s="76"/>
    </row>
    <row r="10" spans="1:17" ht="30">
      <c r="A10" s="79"/>
      <c r="B10" s="80" t="s">
        <v>248</v>
      </c>
      <c r="C10" s="833" t="s">
        <v>453</v>
      </c>
      <c r="D10" s="833"/>
      <c r="E10" s="834" t="s">
        <v>396</v>
      </c>
      <c r="F10" s="834"/>
      <c r="G10" s="834"/>
      <c r="H10" s="834"/>
      <c r="I10" s="834" t="s">
        <v>0</v>
      </c>
      <c r="J10" s="834"/>
      <c r="K10" s="834"/>
      <c r="L10" s="834" t="s">
        <v>454</v>
      </c>
      <c r="M10" s="834"/>
      <c r="N10" s="835" t="s">
        <v>77</v>
      </c>
      <c r="O10" s="835"/>
      <c r="P10" s="835"/>
      <c r="Q10" s="82"/>
    </row>
    <row r="11" spans="1:17" ht="26.25" customHeight="1">
      <c r="A11" s="74"/>
      <c r="B11" s="83">
        <v>1</v>
      </c>
      <c r="C11" s="836">
        <f>DATA!D13</f>
        <v>938023</v>
      </c>
      <c r="D11" s="836"/>
      <c r="E11" s="837" t="str">
        <f>DATA!E3</f>
        <v>K.Chandra sekhar</v>
      </c>
      <c r="F11" s="837"/>
      <c r="G11" s="837"/>
      <c r="H11" s="837"/>
      <c r="I11" s="838" t="e">
        <f>DATA!#REF!</f>
        <v>#REF!</v>
      </c>
      <c r="J11" s="838"/>
      <c r="K11" s="838"/>
      <c r="L11" s="822">
        <f>Bill!X12</f>
        <v>0</v>
      </c>
      <c r="M11" s="822"/>
      <c r="N11" s="822">
        <f>L11</f>
        <v>0</v>
      </c>
      <c r="O11" s="823"/>
      <c r="P11" s="823"/>
      <c r="Q11" s="76"/>
    </row>
    <row r="12" spans="1:17" ht="26.25">
      <c r="A12" s="74"/>
      <c r="B12" s="821" t="s">
        <v>78</v>
      </c>
      <c r="C12" s="821"/>
      <c r="D12" s="821"/>
      <c r="E12" s="821"/>
      <c r="F12" s="821"/>
      <c r="G12" s="821"/>
      <c r="H12" s="821"/>
      <c r="I12" s="821"/>
      <c r="J12" s="821"/>
      <c r="K12" s="821"/>
      <c r="L12" s="821"/>
      <c r="M12" s="821"/>
      <c r="N12" s="822">
        <f>N11</f>
        <v>0</v>
      </c>
      <c r="O12" s="823"/>
      <c r="P12" s="823"/>
      <c r="Q12" s="76"/>
    </row>
    <row r="13" spans="1:17" ht="15.75">
      <c r="A13" s="74"/>
      <c r="B13" s="77"/>
      <c r="C13" s="78"/>
      <c r="D13" s="78"/>
      <c r="E13" s="78"/>
      <c r="F13" s="78"/>
      <c r="G13" s="78"/>
      <c r="H13" s="38"/>
      <c r="I13" s="38"/>
      <c r="J13" s="38"/>
      <c r="K13" s="38"/>
      <c r="L13" s="38"/>
      <c r="M13" s="38"/>
      <c r="N13" s="38"/>
      <c r="O13" s="38"/>
      <c r="P13" s="38"/>
      <c r="Q13" s="76"/>
    </row>
    <row r="14" spans="1:17" ht="15.75">
      <c r="A14" s="74"/>
      <c r="B14" s="84" t="s">
        <v>455</v>
      </c>
      <c r="C14" s="78"/>
      <c r="D14" s="78"/>
      <c r="E14" s="78"/>
      <c r="F14" s="26" t="str">
        <f>DATA!AL154</f>
        <v>Zero</v>
      </c>
      <c r="G14" s="78"/>
      <c r="H14" s="38"/>
      <c r="I14" s="38"/>
      <c r="J14" s="38"/>
      <c r="K14" s="38"/>
      <c r="L14" s="38"/>
      <c r="M14" s="38"/>
      <c r="N14" s="38"/>
      <c r="O14" s="38"/>
      <c r="P14" s="38"/>
      <c r="Q14" s="76"/>
    </row>
    <row r="15" spans="1:17" ht="15.75">
      <c r="A15" s="74"/>
      <c r="B15" s="77"/>
      <c r="C15" s="78"/>
      <c r="D15" s="78"/>
      <c r="E15" s="78"/>
      <c r="F15" s="78"/>
      <c r="G15" s="78"/>
      <c r="H15" s="38"/>
      <c r="I15" s="38"/>
      <c r="J15" s="38"/>
      <c r="K15" s="38"/>
      <c r="L15" s="85"/>
      <c r="M15" s="85"/>
      <c r="N15" s="85"/>
      <c r="O15" s="85"/>
      <c r="P15" s="85"/>
      <c r="Q15" s="76"/>
    </row>
    <row r="16" spans="1:17" ht="15.75">
      <c r="A16" s="74"/>
      <c r="B16" s="77"/>
      <c r="C16" s="78"/>
      <c r="D16" s="78"/>
      <c r="E16" s="86"/>
      <c r="F16" s="86"/>
      <c r="G16" s="86"/>
      <c r="H16" s="38"/>
      <c r="I16" s="38"/>
      <c r="J16" s="38"/>
      <c r="K16" s="38"/>
      <c r="L16" s="85"/>
      <c r="M16" s="85"/>
      <c r="N16" s="85"/>
      <c r="O16" s="85"/>
      <c r="P16" s="85"/>
      <c r="Q16" s="76"/>
    </row>
    <row r="17" spans="1:17" ht="15.75">
      <c r="A17" s="74"/>
      <c r="B17" s="77"/>
      <c r="C17" s="78"/>
      <c r="D17" s="78"/>
      <c r="E17" s="86"/>
      <c r="F17" s="86"/>
      <c r="G17" s="86"/>
      <c r="H17" s="38"/>
      <c r="I17" s="38"/>
      <c r="J17" s="38"/>
      <c r="K17" s="38"/>
      <c r="L17" s="824" t="s">
        <v>81</v>
      </c>
      <c r="M17" s="824"/>
      <c r="N17" s="824"/>
      <c r="O17" s="824"/>
      <c r="P17" s="824"/>
      <c r="Q17" s="76"/>
    </row>
    <row r="18" spans="1:17" ht="15.75">
      <c r="A18" s="74"/>
      <c r="B18" s="77"/>
      <c r="C18" s="38"/>
      <c r="D18" s="78"/>
      <c r="E18" s="78"/>
      <c r="F18" s="78"/>
      <c r="G18" s="78"/>
      <c r="H18" s="38"/>
      <c r="I18" s="38"/>
      <c r="J18" s="38"/>
      <c r="K18" s="38"/>
      <c r="L18" s="824"/>
      <c r="M18" s="824"/>
      <c r="N18" s="824"/>
      <c r="O18" s="824"/>
      <c r="P18" s="824"/>
      <c r="Q18" s="76"/>
    </row>
    <row r="19" spans="1:17" ht="15.75">
      <c r="A19" s="74"/>
      <c r="B19" s="77"/>
      <c r="C19" s="87"/>
      <c r="D19" s="88"/>
      <c r="E19" s="88"/>
      <c r="F19" s="88"/>
      <c r="G19" s="88"/>
      <c r="H19" s="38"/>
      <c r="I19" s="38"/>
      <c r="J19" s="38"/>
      <c r="K19" s="38"/>
      <c r="L19" s="38"/>
      <c r="M19" s="38"/>
      <c r="N19" s="38"/>
      <c r="O19" s="38"/>
      <c r="P19" s="38"/>
      <c r="Q19" s="76"/>
    </row>
    <row r="20" spans="1:17" ht="15.75">
      <c r="A20" s="74"/>
      <c r="B20" s="77"/>
      <c r="C20" s="89"/>
      <c r="D20" s="89"/>
      <c r="E20" s="89"/>
      <c r="F20" s="89"/>
      <c r="G20" s="89"/>
      <c r="H20" s="38"/>
      <c r="I20" s="38"/>
      <c r="J20" s="38"/>
      <c r="K20" s="38"/>
      <c r="L20" s="38"/>
      <c r="M20" s="38"/>
      <c r="N20" s="38"/>
      <c r="O20" s="38"/>
      <c r="P20" s="38"/>
      <c r="Q20" s="76"/>
    </row>
    <row r="21" spans="1:17" ht="16.5" thickBot="1">
      <c r="A21" s="90"/>
      <c r="B21" s="91"/>
      <c r="C21" s="92"/>
      <c r="D21" s="92"/>
      <c r="E21" s="92"/>
      <c r="F21" s="92"/>
      <c r="G21" s="92"/>
      <c r="H21" s="93"/>
      <c r="I21" s="93"/>
      <c r="J21" s="93"/>
      <c r="K21" s="93"/>
      <c r="L21" s="93"/>
      <c r="M21" s="93"/>
      <c r="N21" s="93"/>
      <c r="O21" s="93"/>
      <c r="P21" s="93"/>
      <c r="Q21" s="94"/>
    </row>
    <row r="22" spans="1:17" ht="16.5" thickTop="1">
      <c r="A22" s="74"/>
      <c r="B22" s="77"/>
      <c r="C22" s="78"/>
      <c r="D22" s="78"/>
      <c r="E22" s="78"/>
      <c r="F22" s="78"/>
      <c r="G22" s="78"/>
      <c r="H22" s="38"/>
      <c r="I22" s="38"/>
      <c r="J22" s="38"/>
      <c r="K22" s="38"/>
      <c r="L22" s="38"/>
      <c r="M22" s="38"/>
      <c r="N22" s="38"/>
      <c r="O22" s="38"/>
      <c r="P22" s="38"/>
      <c r="Q22" s="76"/>
    </row>
    <row r="23" spans="1:17" ht="15">
      <c r="A23" s="825" t="s">
        <v>450</v>
      </c>
      <c r="B23" s="826"/>
      <c r="C23" s="826"/>
      <c r="D23" s="826"/>
      <c r="E23" s="826"/>
      <c r="F23" s="826"/>
      <c r="G23" s="826"/>
      <c r="H23" s="826"/>
      <c r="I23" s="826"/>
      <c r="J23" s="826"/>
      <c r="K23" s="826"/>
      <c r="L23" s="826"/>
      <c r="M23" s="826"/>
      <c r="N23" s="826"/>
      <c r="O23" s="826"/>
      <c r="P23" s="826"/>
      <c r="Q23" s="827"/>
    </row>
    <row r="24" spans="1:17" ht="15">
      <c r="A24" s="828" t="s">
        <v>451</v>
      </c>
      <c r="B24" s="792"/>
      <c r="C24" s="792"/>
      <c r="D24" s="792"/>
      <c r="E24" s="792"/>
      <c r="F24" s="792"/>
      <c r="G24" s="792"/>
      <c r="H24" s="792"/>
      <c r="I24" s="792"/>
      <c r="J24" s="792"/>
      <c r="K24" s="792"/>
      <c r="L24" s="792"/>
      <c r="M24" s="792"/>
      <c r="N24" s="792"/>
      <c r="O24" s="792"/>
      <c r="P24" s="792"/>
      <c r="Q24" s="829"/>
    </row>
    <row r="25" spans="1:17" ht="15">
      <c r="A25" s="830" t="s">
        <v>452</v>
      </c>
      <c r="B25" s="831"/>
      <c r="C25" s="831"/>
      <c r="D25" s="831"/>
      <c r="E25" s="831"/>
      <c r="F25" s="831"/>
      <c r="G25" s="831"/>
      <c r="H25" s="831"/>
      <c r="I25" s="831"/>
      <c r="J25" s="831"/>
      <c r="K25" s="831"/>
      <c r="L25" s="831"/>
      <c r="M25" s="831"/>
      <c r="N25" s="831"/>
      <c r="O25" s="831"/>
      <c r="P25" s="831"/>
      <c r="Q25" s="832"/>
    </row>
    <row r="26" spans="1:17" ht="15">
      <c r="A26" s="74"/>
      <c r="B26" s="95"/>
      <c r="C26" s="95"/>
      <c r="D26" s="95"/>
      <c r="E26" s="95"/>
      <c r="F26" s="95"/>
      <c r="G26" s="95"/>
      <c r="H26" s="95"/>
      <c r="I26" s="95"/>
      <c r="J26" s="95"/>
      <c r="K26" s="95"/>
      <c r="L26" s="95"/>
      <c r="M26" s="95"/>
      <c r="N26" s="95"/>
      <c r="O26" s="95"/>
      <c r="P26" s="95"/>
      <c r="Q26" s="76"/>
    </row>
    <row r="27" spans="1:17" ht="15.75">
      <c r="A27" s="839" t="str">
        <f>A7</f>
        <v> AAS  ( 12 years ) Arrears bill of  Sri. K.Chandra sekhar ,Sr.Asst. ,Mandal Parishad ,Jonnagiri, Tuggali ( Mandal ).</v>
      </c>
      <c r="B27" s="840"/>
      <c r="C27" s="840"/>
      <c r="D27" s="840"/>
      <c r="E27" s="840"/>
      <c r="F27" s="840"/>
      <c r="G27" s="840"/>
      <c r="H27" s="840"/>
      <c r="I27" s="840"/>
      <c r="J27" s="840"/>
      <c r="K27" s="840"/>
      <c r="L27" s="840"/>
      <c r="M27" s="840"/>
      <c r="N27" s="840"/>
      <c r="O27" s="840"/>
      <c r="P27" s="840"/>
      <c r="Q27" s="841"/>
    </row>
    <row r="28" spans="1:17" ht="18.75">
      <c r="A28" s="74"/>
      <c r="B28" s="97"/>
      <c r="C28" s="97"/>
      <c r="D28" s="97"/>
      <c r="E28" s="97"/>
      <c r="F28" s="97"/>
      <c r="G28" s="820" t="str">
        <f>G8</f>
        <v>Month of -</v>
      </c>
      <c r="H28" s="820"/>
      <c r="I28" s="820"/>
      <c r="J28" s="819">
        <f>J8</f>
        <v>41699</v>
      </c>
      <c r="K28" s="819"/>
      <c r="L28" s="819"/>
      <c r="M28" s="97"/>
      <c r="N28" s="97"/>
      <c r="O28" s="97"/>
      <c r="P28" s="97"/>
      <c r="Q28" s="76"/>
    </row>
    <row r="29" spans="1:17" ht="15.75">
      <c r="A29" s="74"/>
      <c r="B29" s="77"/>
      <c r="C29" s="78"/>
      <c r="D29" s="78"/>
      <c r="E29" s="78"/>
      <c r="F29" s="78"/>
      <c r="G29" s="78"/>
      <c r="H29" s="38"/>
      <c r="I29" s="38"/>
      <c r="J29" s="38"/>
      <c r="K29" s="38"/>
      <c r="L29" s="38"/>
      <c r="M29" s="38"/>
      <c r="N29" s="38"/>
      <c r="O29" s="38"/>
      <c r="P29" s="38"/>
      <c r="Q29" s="76"/>
    </row>
    <row r="30" spans="1:17" ht="30">
      <c r="A30" s="79"/>
      <c r="B30" s="81" t="s">
        <v>248</v>
      </c>
      <c r="C30" s="833" t="s">
        <v>453</v>
      </c>
      <c r="D30" s="833"/>
      <c r="E30" s="834" t="s">
        <v>396</v>
      </c>
      <c r="F30" s="834"/>
      <c r="G30" s="834"/>
      <c r="H30" s="834"/>
      <c r="I30" s="834" t="s">
        <v>0</v>
      </c>
      <c r="J30" s="834"/>
      <c r="K30" s="834"/>
      <c r="L30" s="834" t="s">
        <v>454</v>
      </c>
      <c r="M30" s="834"/>
      <c r="N30" s="835" t="s">
        <v>77</v>
      </c>
      <c r="O30" s="835"/>
      <c r="P30" s="835"/>
      <c r="Q30" s="82"/>
    </row>
    <row r="31" spans="1:17" ht="21.75" customHeight="1">
      <c r="A31" s="74"/>
      <c r="B31" s="83">
        <v>1</v>
      </c>
      <c r="C31" s="836">
        <f>C11</f>
        <v>938023</v>
      </c>
      <c r="D31" s="836"/>
      <c r="E31" s="837" t="str">
        <f>E11</f>
        <v>K.Chandra sekhar</v>
      </c>
      <c r="F31" s="837"/>
      <c r="G31" s="837"/>
      <c r="H31" s="837"/>
      <c r="I31" s="838" t="e">
        <f>I11</f>
        <v>#REF!</v>
      </c>
      <c r="J31" s="838"/>
      <c r="K31" s="838"/>
      <c r="L31" s="822">
        <f>L11</f>
        <v>0</v>
      </c>
      <c r="M31" s="822"/>
      <c r="N31" s="822">
        <f>L31</f>
        <v>0</v>
      </c>
      <c r="O31" s="823"/>
      <c r="P31" s="823"/>
      <c r="Q31" s="76"/>
    </row>
    <row r="32" spans="1:17" ht="26.25">
      <c r="A32" s="74"/>
      <c r="B32" s="821" t="s">
        <v>78</v>
      </c>
      <c r="C32" s="821"/>
      <c r="D32" s="821"/>
      <c r="E32" s="821"/>
      <c r="F32" s="821"/>
      <c r="G32" s="821"/>
      <c r="H32" s="821"/>
      <c r="I32" s="821"/>
      <c r="J32" s="821"/>
      <c r="K32" s="821"/>
      <c r="L32" s="821"/>
      <c r="M32" s="821"/>
      <c r="N32" s="822">
        <f>N31</f>
        <v>0</v>
      </c>
      <c r="O32" s="823"/>
      <c r="P32" s="823"/>
      <c r="Q32" s="76"/>
    </row>
    <row r="33" spans="1:17" ht="15.75">
      <c r="A33" s="74"/>
      <c r="B33" s="77"/>
      <c r="C33" s="78"/>
      <c r="D33" s="78"/>
      <c r="E33" s="78"/>
      <c r="F33" s="78"/>
      <c r="G33" s="78"/>
      <c r="H33" s="38"/>
      <c r="I33" s="38"/>
      <c r="J33" s="38"/>
      <c r="K33" s="38"/>
      <c r="L33" s="38"/>
      <c r="M33" s="38"/>
      <c r="N33" s="38"/>
      <c r="O33" s="38"/>
      <c r="P33" s="38"/>
      <c r="Q33" s="76"/>
    </row>
    <row r="34" spans="1:17" ht="15.75">
      <c r="A34" s="74"/>
      <c r="B34" s="84" t="s">
        <v>455</v>
      </c>
      <c r="C34" s="78"/>
      <c r="D34" s="78"/>
      <c r="E34" s="78"/>
      <c r="F34" s="26" t="str">
        <f>F14</f>
        <v>Zero</v>
      </c>
      <c r="G34" s="78"/>
      <c r="H34" s="38"/>
      <c r="I34" s="38"/>
      <c r="J34" s="38"/>
      <c r="K34" s="38"/>
      <c r="L34" s="38"/>
      <c r="M34" s="38"/>
      <c r="N34" s="38"/>
      <c r="O34" s="38"/>
      <c r="P34" s="38"/>
      <c r="Q34" s="76"/>
    </row>
    <row r="35" spans="1:17" ht="15.75">
      <c r="A35" s="74"/>
      <c r="B35" s="77"/>
      <c r="C35" s="78"/>
      <c r="D35" s="78"/>
      <c r="E35" s="78"/>
      <c r="F35" s="78"/>
      <c r="G35" s="78"/>
      <c r="H35" s="38"/>
      <c r="I35" s="38"/>
      <c r="J35" s="38"/>
      <c r="K35" s="38"/>
      <c r="L35" s="85"/>
      <c r="M35" s="85"/>
      <c r="N35" s="85"/>
      <c r="O35" s="85"/>
      <c r="P35" s="85"/>
      <c r="Q35" s="76"/>
    </row>
    <row r="36" spans="1:17" ht="15.75">
      <c r="A36" s="74"/>
      <c r="B36" s="77"/>
      <c r="C36" s="78"/>
      <c r="D36" s="78"/>
      <c r="E36" s="86"/>
      <c r="F36" s="86"/>
      <c r="G36" s="86"/>
      <c r="H36" s="38"/>
      <c r="I36" s="38"/>
      <c r="J36" s="38"/>
      <c r="K36" s="38"/>
      <c r="L36" s="85"/>
      <c r="M36" s="85"/>
      <c r="N36" s="85"/>
      <c r="O36" s="85"/>
      <c r="P36" s="85"/>
      <c r="Q36" s="76"/>
    </row>
    <row r="37" spans="1:17" ht="15.75">
      <c r="A37" s="74"/>
      <c r="B37" s="77"/>
      <c r="C37" s="78"/>
      <c r="D37" s="78"/>
      <c r="E37" s="86"/>
      <c r="F37" s="86"/>
      <c r="G37" s="86"/>
      <c r="H37" s="38"/>
      <c r="I37" s="38"/>
      <c r="J37" s="38"/>
      <c r="K37" s="38"/>
      <c r="L37" s="824" t="s">
        <v>81</v>
      </c>
      <c r="M37" s="824"/>
      <c r="N37" s="824"/>
      <c r="O37" s="824"/>
      <c r="P37" s="824"/>
      <c r="Q37" s="76"/>
    </row>
    <row r="38" spans="1:17" ht="15.75">
      <c r="A38" s="74"/>
      <c r="B38" s="77"/>
      <c r="C38" s="38"/>
      <c r="D38" s="78"/>
      <c r="E38" s="78"/>
      <c r="F38" s="78"/>
      <c r="G38" s="78"/>
      <c r="H38" s="38"/>
      <c r="I38" s="38"/>
      <c r="J38" s="38"/>
      <c r="K38" s="38"/>
      <c r="L38" s="824"/>
      <c r="M38" s="824"/>
      <c r="N38" s="824"/>
      <c r="O38" s="824"/>
      <c r="P38" s="824"/>
      <c r="Q38" s="76"/>
    </row>
    <row r="39" spans="1:17" ht="15.75">
      <c r="A39" s="74"/>
      <c r="B39" s="77"/>
      <c r="C39" s="87"/>
      <c r="D39" s="88"/>
      <c r="E39" s="88"/>
      <c r="F39" s="88"/>
      <c r="G39" s="88"/>
      <c r="H39" s="38"/>
      <c r="I39" s="38"/>
      <c r="J39" s="38"/>
      <c r="K39" s="38"/>
      <c r="L39" s="38"/>
      <c r="M39" s="38"/>
      <c r="N39" s="38"/>
      <c r="O39" s="38"/>
      <c r="P39" s="38"/>
      <c r="Q39" s="76"/>
    </row>
    <row r="40" spans="1:17" ht="15.75">
      <c r="A40" s="74"/>
      <c r="B40" s="77"/>
      <c r="C40" s="89"/>
      <c r="D40" s="89"/>
      <c r="E40" s="89"/>
      <c r="F40" s="89"/>
      <c r="G40" s="89"/>
      <c r="H40" s="38"/>
      <c r="I40" s="38"/>
      <c r="J40" s="38"/>
      <c r="K40" s="38"/>
      <c r="L40" s="38"/>
      <c r="M40" s="38"/>
      <c r="N40" s="38"/>
      <c r="O40" s="38"/>
      <c r="P40" s="38"/>
      <c r="Q40" s="76"/>
    </row>
    <row r="41" spans="1:17" ht="15">
      <c r="A41" s="8"/>
      <c r="B41" s="9"/>
      <c r="C41" s="9"/>
      <c r="D41" s="9"/>
      <c r="E41" s="9"/>
      <c r="F41" s="9"/>
      <c r="G41" s="9"/>
      <c r="H41" s="9"/>
      <c r="I41" s="9"/>
      <c r="J41" s="9"/>
      <c r="K41" s="9"/>
      <c r="L41" s="9"/>
      <c r="M41" s="9"/>
      <c r="N41" s="9"/>
      <c r="O41" s="9"/>
      <c r="P41" s="9"/>
      <c r="Q41" s="10"/>
    </row>
    <row r="42" spans="1:17" ht="15.75" thickBot="1">
      <c r="A42" s="12"/>
      <c r="B42" s="13"/>
      <c r="C42" s="13"/>
      <c r="D42" s="13"/>
      <c r="E42" s="13"/>
      <c r="F42" s="13"/>
      <c r="G42" s="13"/>
      <c r="H42" s="13"/>
      <c r="I42" s="13"/>
      <c r="J42" s="13"/>
      <c r="K42" s="13"/>
      <c r="L42" s="13"/>
      <c r="M42" s="13"/>
      <c r="N42" s="13"/>
      <c r="O42" s="13"/>
      <c r="P42" s="13"/>
      <c r="Q42" s="14"/>
    </row>
    <row r="43" spans="1:17" ht="15.75" thickTop="1">
      <c r="A43" s="3"/>
      <c r="B43" s="3"/>
      <c r="C43" s="3"/>
      <c r="D43" s="3"/>
      <c r="E43" s="3"/>
      <c r="F43" s="3"/>
      <c r="G43" s="3"/>
      <c r="H43" s="3"/>
      <c r="I43" s="3"/>
      <c r="J43" s="3"/>
      <c r="K43" s="3"/>
      <c r="L43" s="3"/>
      <c r="M43" s="3"/>
      <c r="N43" s="3"/>
      <c r="O43" s="3"/>
      <c r="P43" s="3"/>
      <c r="Q43" s="3"/>
    </row>
  </sheetData>
  <sheetProtection password="C692" sheet="1"/>
  <mergeCells count="38">
    <mergeCell ref="A2:Q2"/>
    <mergeCell ref="A3:Q3"/>
    <mergeCell ref="A4:Q5"/>
    <mergeCell ref="A7:Q7"/>
    <mergeCell ref="C10:D10"/>
    <mergeCell ref="E10:H10"/>
    <mergeCell ref="I10:K10"/>
    <mergeCell ref="L10:M10"/>
    <mergeCell ref="N10:P10"/>
    <mergeCell ref="J8:L8"/>
    <mergeCell ref="A27:Q27"/>
    <mergeCell ref="C11:D11"/>
    <mergeCell ref="E11:H11"/>
    <mergeCell ref="I11:K11"/>
    <mergeCell ref="L11:M11"/>
    <mergeCell ref="N11:P11"/>
    <mergeCell ref="B12:M12"/>
    <mergeCell ref="N12:P12"/>
    <mergeCell ref="L37:P38"/>
    <mergeCell ref="C30:D30"/>
    <mergeCell ref="E30:H30"/>
    <mergeCell ref="I30:K30"/>
    <mergeCell ref="L30:M30"/>
    <mergeCell ref="N30:P30"/>
    <mergeCell ref="C31:D31"/>
    <mergeCell ref="E31:H31"/>
    <mergeCell ref="I31:K31"/>
    <mergeCell ref="L31:M31"/>
    <mergeCell ref="G8:I8"/>
    <mergeCell ref="J28:L28"/>
    <mergeCell ref="G28:I28"/>
    <mergeCell ref="B32:M32"/>
    <mergeCell ref="N32:P32"/>
    <mergeCell ref="N31:P31"/>
    <mergeCell ref="L17:P18"/>
    <mergeCell ref="A23:Q23"/>
    <mergeCell ref="A24:Q24"/>
    <mergeCell ref="A25:Q25"/>
  </mergeCells>
  <printOptions/>
  <pageMargins left="0.58" right="0.4"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G5" sqref="G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 Pc</dc:creator>
  <cp:keywords/>
  <dc:description/>
  <cp:lastModifiedBy>MY</cp:lastModifiedBy>
  <cp:lastPrinted>2014-09-10T00:18:01Z</cp:lastPrinted>
  <dcterms:created xsi:type="dcterms:W3CDTF">2012-03-08T10:08:09Z</dcterms:created>
  <dcterms:modified xsi:type="dcterms:W3CDTF">2015-01-31T13:28:47Z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