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609" activeTab="1"/>
  </bookViews>
  <sheets>
    <sheet name="Tax rules" sheetId="1" r:id="rId1"/>
    <sheet name="DATA" sheetId="2" r:id="rId2"/>
    <sheet name="Bill" sheetId="3" r:id="rId3"/>
    <sheet name="Annexure -I I" sheetId="4" r:id="rId4"/>
    <sheet name="Form-16" sheetId="5" r:id="rId5"/>
    <sheet name="Form-16 Back" sheetId="6" r:id="rId6"/>
    <sheet name="DA Table" sheetId="7" r:id="rId7"/>
    <sheet name="Rent Recept" sheetId="8" r:id="rId8"/>
    <sheet name="Form 10-I" sheetId="9" r:id="rId9"/>
    <sheet name="Form 10IA" sheetId="10" r:id="rId10"/>
  </sheets>
  <definedNames>
    <definedName name="_xlnm._FilterDatabase" localSheetId="2" hidden="1">'Bill'!$AA$5:$AA$27</definedName>
    <definedName name="A1116414">'DATA'!$B$50879</definedName>
    <definedName name="B1050000">'DATA'!$C$16961</definedName>
    <definedName name="B1090000">'DATA'!$C$16961</definedName>
    <definedName name="B1100000">'DATA'!$C$16961</definedName>
    <definedName name="B11000000">'DATA'!$C$16961</definedName>
    <definedName name="B1500000">'DATA'!$C$16961</definedName>
    <definedName name="_xlnm.Print_Area" localSheetId="3">'Annexure -I I'!$B$2:$L$68</definedName>
    <definedName name="_xlnm.Print_Area" localSheetId="2">'Bill'!$B$2:$Z$34</definedName>
    <definedName name="_xlnm.Print_Area" localSheetId="6">'DA Table'!$B$2:$P$48</definedName>
    <definedName name="_xlnm.Print_Area" localSheetId="4">'Form-16'!$B$2:$L$55</definedName>
    <definedName name="_xlnm.Print_Area" localSheetId="5">'Form-16 Back'!$B$2:$M$57</definedName>
    <definedName name="_xlnm.Print_Area" localSheetId="7">'Rent Recept'!$B$2:$M$44</definedName>
    <definedName name="Z_11A5FF28_B9BC_4A39_9232_B3975F1F1307_.wvu.Cols">#REF!</definedName>
    <definedName name="Z_11A5FF28_B9BC_4A39_9232_B3975F1F1307_.wvu.Cols_1">"data!$wjw":"$xfd"</definedName>
    <definedName name="Z_11A5FF28_B9BC_4A39_9232_B3975F1F1307_.wvu.Rows">('DATA'!$102:$401,'DATA'!$8253:$10288,'DATA'!$10290:$55621,'DATA'!$55623:$56116,'DATA'!$7176:$56118,'DATA'!$13115:$61528,'DATA'!$6623:$16956,'DATA'!$16959:$39341,'DATA'!$39343:$65536)</definedName>
    <definedName name="Z_4975DEB0_E538_4A68_8083_47CD49F1FF15_.wvu.Cols" localSheetId="1" hidden="1">'DATA'!$U:$CK</definedName>
    <definedName name="Z_5E33479C_BD36_4807_8C89_2DD93E5280D1_.wvu.Rows">'DATA'!$101:$351</definedName>
    <definedName name="Z_7BBF6758_510D_4718_966E_44E6CB585026_.wvu.Cols" localSheetId="1" hidden="1">'DATA'!$AE:$DA</definedName>
    <definedName name="Z_89DF6277_1055_4AEF_A3C6_2A9AA8625D7E_.wvu.Cols">#REF!</definedName>
    <definedName name="Z_89DF6277_1055_4AEF_A3C6_2A9AA8625D7E_.wvu.Cols_1">"data!$t":"$xfd"</definedName>
    <definedName name="Z_89DF6277_1055_4AEF_A3C6_2A9AA8625D7E_.wvu.Rows">('DATA'!$42:$500,'DATA'!$8253:$10288,'DATA'!$10290:$55621,'DATA'!$55623:$56116,'DATA'!$7176:$56118,'DATA'!$13115:$61528,'DATA'!$6623:$16956,'DATA'!$16959:$39341,'DATA'!$39343:$65536)</definedName>
    <definedName name="Z_936B406B_A7E7_4F2D_94BD_FAAE872EEC1D_.wvu.Cols" localSheetId="1" hidden="1">'DATA'!$U:$CK</definedName>
    <definedName name="Z_A3BF36D5_D274_44BA_82EF_364AEC30BF7E_.wvu.Rows" localSheetId="2" hidden="1">'Bill'!#REF!</definedName>
    <definedName name="Z_A3BF36D5_D274_44BA_82EF_364AEC30BF7E_.wvu.Rows" localSheetId="1" hidden="1">'DATA'!$132:$317</definedName>
    <definedName name="Z_BAAE4F36_18E3_4A8A_8B3A_DA481D96D01B_.wvu.Cols" localSheetId="1" hidden="1">'DATA'!$AF:$DC</definedName>
    <definedName name="Z_D6CCE077_CFCC_4961_88CB_746A7964ADE3_.wvu.Cols" localSheetId="6" hidden="1">'DA Table'!$T:$V</definedName>
    <definedName name="Z_D6CCE077_CFCC_4961_88CB_746A7964ADE3_.wvu.Cols" localSheetId="0" hidden="1">'Tax rules'!$D:$IV</definedName>
    <definedName name="Z_D6CCE077_CFCC_4961_88CB_746A7964ADE3_.wvu.FilterData" localSheetId="2" hidden="1">'Bill'!$AA$5:$AA$27</definedName>
    <definedName name="Z_D6CCE077_CFCC_4961_88CB_746A7964ADE3_.wvu.PrintArea" localSheetId="3" hidden="1">'Annexure -I I'!$B$2:$L$68</definedName>
    <definedName name="Z_D6CCE077_CFCC_4961_88CB_746A7964ADE3_.wvu.PrintArea" localSheetId="2" hidden="1">'Bill'!$B$2:$Z$34</definedName>
    <definedName name="Z_D6CCE077_CFCC_4961_88CB_746A7964ADE3_.wvu.PrintArea" localSheetId="6" hidden="1">'DA Table'!$B$2:$O$48</definedName>
    <definedName name="Z_D6CCE077_CFCC_4961_88CB_746A7964ADE3_.wvu.PrintArea" localSheetId="4" hidden="1">'Form-16'!$B$2:$L$55</definedName>
    <definedName name="Z_D6CCE077_CFCC_4961_88CB_746A7964ADE3_.wvu.PrintArea" localSheetId="5" hidden="1">'Form-16 Back'!$B$2:$M$57</definedName>
    <definedName name="Z_D6CCE077_CFCC_4961_88CB_746A7964ADE3_.wvu.PrintArea" localSheetId="7" hidden="1">'Rent Recept'!$B$2:$M$44</definedName>
    <definedName name="Z_D6CCE077_CFCC_4961_88CB_746A7964ADE3_.wvu.Rows" localSheetId="3" hidden="1">'Annexure -I I'!$51:$51</definedName>
    <definedName name="Z_D6CCE077_CFCC_4961_88CB_746A7964ADE3_.wvu.Rows" localSheetId="1" hidden="1">'DATA'!$132:$330</definedName>
    <definedName name="Z_D6CCE077_CFCC_4961_88CB_746A7964ADE3_.wvu.Rows" localSheetId="5" hidden="1">'Form-16 Back'!$18:$18</definedName>
    <definedName name="Z_D6CCE077_CFCC_4961_88CB_746A7964ADE3_.wvu.Rows" localSheetId="0" hidden="1">'Tax rules'!$164:$65536,'Tax rules'!$7:$7,'Tax rules'!$14:$14,'Tax rules'!$40:$40,'Tax rules'!$66:$75,'Tax rules'!$80:$80,'Tax rules'!$108:$163</definedName>
    <definedName name="Z_DA712116_EE2B_4380_B104_9ED592AB012B_.wvu.Cols" localSheetId="6" hidden="1">'DA Table'!$H:$H,'DA Table'!$O:$O,'DA Table'!$T:$V</definedName>
    <definedName name="Z_DA712116_EE2B_4380_B104_9ED592AB012B_.wvu.Cols" localSheetId="0" hidden="1">'Tax rules'!$D:$IV</definedName>
    <definedName name="Z_DA712116_EE2B_4380_B104_9ED592AB012B_.wvu.FilterData" localSheetId="2" hidden="1">'Bill'!$AA$5:$AA$27</definedName>
    <definedName name="Z_DA712116_EE2B_4380_B104_9ED592AB012B_.wvu.PrintArea" localSheetId="3" hidden="1">'Annexure -I I'!$B$2:$L$68</definedName>
    <definedName name="Z_DA712116_EE2B_4380_B104_9ED592AB012B_.wvu.PrintArea" localSheetId="2" hidden="1">'Bill'!$B$2:$Z$34</definedName>
    <definedName name="Z_DA712116_EE2B_4380_B104_9ED592AB012B_.wvu.PrintArea" localSheetId="6" hidden="1">'DA Table'!$B$2:$P$48</definedName>
    <definedName name="Z_DA712116_EE2B_4380_B104_9ED592AB012B_.wvu.PrintArea" localSheetId="4" hidden="1">'Form-16'!$B$2:$L$55</definedName>
    <definedName name="Z_DA712116_EE2B_4380_B104_9ED592AB012B_.wvu.PrintArea" localSheetId="5" hidden="1">'Form-16 Back'!$B$2:$M$57</definedName>
    <definedName name="Z_DA712116_EE2B_4380_B104_9ED592AB012B_.wvu.PrintArea" localSheetId="7" hidden="1">'Rent Recept'!$B$2:$M$44</definedName>
    <definedName name="Z_DA712116_EE2B_4380_B104_9ED592AB012B_.wvu.Rows" localSheetId="3" hidden="1">'Annexure -I I'!$51:$51</definedName>
    <definedName name="Z_DA712116_EE2B_4380_B104_9ED592AB012B_.wvu.Rows" localSheetId="1" hidden="1">'DATA'!$133:$330</definedName>
    <definedName name="Z_DA712116_EE2B_4380_B104_9ED592AB012B_.wvu.Rows" localSheetId="5" hidden="1">'Form-16 Back'!$18:$18</definedName>
    <definedName name="Z_DA712116_EE2B_4380_B104_9ED592AB012B_.wvu.Rows" localSheetId="0" hidden="1">'Tax rules'!$164:$65536,'Tax rules'!$7:$7,'Tax rules'!$14:$14,'Tax rules'!$40:$40,'Tax rules'!$66:$75,'Tax rules'!$80:$80,'Tax rules'!$108:$163</definedName>
    <definedName name="zzz">"data!$gny$2"</definedName>
  </definedNames>
  <calcPr fullCalcOnLoad="1"/>
</workbook>
</file>

<file path=xl/comments2.xml><?xml version="1.0" encoding="utf-8"?>
<comments xmlns="http://schemas.openxmlformats.org/spreadsheetml/2006/main">
  <authors>
    <author>CR</author>
    <author>cr</author>
  </authors>
  <commentList>
    <comment ref="G5" authorId="0">
      <text>
        <r>
          <rPr>
            <sz val="10"/>
            <rFont val="Arial"/>
            <family val="0"/>
          </rPr>
          <t>CR:</t>
        </r>
        <r>
          <rPr>
            <sz val="10"/>
            <rFont val="Arial"/>
            <family val="2"/>
          </rPr>
          <t xml:space="preserve">
Raise Monthly House Rent in 100 Multiple
(Any change HRA)
7500-Correct,7595- Not correct.</t>
        </r>
      </text>
    </comment>
    <comment ref="J34" authorId="1">
      <text>
        <r>
          <rPr>
            <sz val="10"/>
            <rFont val="Arial"/>
            <family val="0"/>
          </rPr>
          <t>cr:</t>
        </r>
        <r>
          <rPr>
            <sz val="10"/>
            <rFont val="Arial"/>
            <family val="2"/>
          </rPr>
          <t xml:space="preserve">
Any other Arrears Name 
Enter</t>
        </r>
      </text>
    </comment>
    <comment ref="K37" authorId="1">
      <text>
        <r>
          <rPr>
            <sz val="10"/>
            <rFont val="Arial"/>
            <family val="0"/>
          </rPr>
          <t>cr:</t>
        </r>
        <r>
          <rPr>
            <sz val="10"/>
            <rFont val="Arial"/>
            <family val="2"/>
          </rPr>
          <t xml:space="preserve">
If Telagana, Enter your Telangana Increment Amount.</t>
        </r>
      </text>
    </comment>
  </commentList>
</comments>
</file>

<file path=xl/comments3.xml><?xml version="1.0" encoding="utf-8"?>
<comments xmlns="http://schemas.openxmlformats.org/spreadsheetml/2006/main">
  <authors>
    <author>cr</author>
  </authors>
  <commentList>
    <comment ref="AA5" authorId="0">
      <text>
        <r>
          <rPr>
            <sz val="10"/>
            <rFont val="Arial"/>
            <family val="0"/>
          </rPr>
          <t>cr:</t>
        </r>
        <r>
          <rPr>
            <sz val="10"/>
            <rFont val="Arial"/>
            <family val="2"/>
          </rPr>
          <t xml:space="preserve">
select ' 0 ' in filter, Hide empty rows.</t>
        </r>
      </text>
    </comment>
  </commentList>
</comments>
</file>

<file path=xl/comments7.xml><?xml version="1.0" encoding="utf-8"?>
<comments xmlns="http://schemas.openxmlformats.org/spreadsheetml/2006/main">
  <authors>
    <author>cr</author>
  </authors>
  <commentList>
    <comment ref="E5" authorId="0">
      <text>
        <r>
          <rPr>
            <sz val="10"/>
            <rFont val="Arial"/>
            <family val="0"/>
          </rPr>
          <t>cr:</t>
        </r>
        <r>
          <rPr>
            <sz val="10"/>
            <rFont val="Arial"/>
            <family val="2"/>
          </rPr>
          <t xml:space="preserve">
Enter PF Adjust Months No.</t>
        </r>
      </text>
    </comment>
  </commentList>
</comments>
</file>

<file path=xl/sharedStrings.xml><?xml version="1.0" encoding="utf-8"?>
<sst xmlns="http://schemas.openxmlformats.org/spreadsheetml/2006/main" count="1247" uniqueCount="832">
  <si>
    <t>Employee Personal  Details</t>
  </si>
  <si>
    <t>Name of the Employee</t>
  </si>
  <si>
    <t>Sri.</t>
  </si>
  <si>
    <t>If any change PF</t>
  </si>
  <si>
    <t>Designation</t>
  </si>
  <si>
    <t>PAN No :</t>
  </si>
  <si>
    <t>ASKPRT325V</t>
  </si>
  <si>
    <t>If any change HRA</t>
  </si>
  <si>
    <t>No Change</t>
  </si>
  <si>
    <t>If any change APGLI</t>
  </si>
  <si>
    <t>HM Allowance</t>
  </si>
  <si>
    <t>Not Applicable</t>
  </si>
  <si>
    <t>Jonnagiri</t>
  </si>
  <si>
    <t>PH Allowance</t>
  </si>
  <si>
    <t xml:space="preserve">Not Applicable </t>
  </si>
  <si>
    <t>Name of the Mandal</t>
  </si>
  <si>
    <t>Tuggali</t>
  </si>
  <si>
    <t>Name of the District</t>
  </si>
  <si>
    <t>Kurnool</t>
  </si>
  <si>
    <t>Rented House</t>
  </si>
  <si>
    <t>PF/CPS No</t>
  </si>
  <si>
    <t>Sainik Welfare Fund</t>
  </si>
  <si>
    <t>PF</t>
  </si>
  <si>
    <t>APGLI No</t>
  </si>
  <si>
    <t>Employee Welfare Fund</t>
  </si>
  <si>
    <t>Date</t>
  </si>
  <si>
    <t xml:space="preserve">Month &amp; Year </t>
  </si>
  <si>
    <t>If any change LIC</t>
  </si>
  <si>
    <t xml:space="preserve">Yes </t>
  </si>
  <si>
    <t>No</t>
  </si>
  <si>
    <t>Total</t>
  </si>
  <si>
    <t>Surrender leave</t>
  </si>
  <si>
    <t>Pay</t>
  </si>
  <si>
    <t>DA</t>
  </si>
  <si>
    <t>HRA</t>
  </si>
  <si>
    <t>PHA</t>
  </si>
  <si>
    <t>CPS/PF</t>
  </si>
  <si>
    <t>P.Tax</t>
  </si>
  <si>
    <t>D.A. difference Claim after Surrender leave encash</t>
  </si>
  <si>
    <t>Step up/ Preponment Arrears</t>
  </si>
  <si>
    <t xml:space="preserve">Employee Persnal Savings </t>
  </si>
  <si>
    <t>Enter DDO Details</t>
  </si>
  <si>
    <t>To</t>
  </si>
  <si>
    <t>SAVINIGS</t>
  </si>
  <si>
    <t>AMOUNT</t>
  </si>
  <si>
    <t>1.  DDO Name</t>
  </si>
  <si>
    <t>T.V.Sreenivasulu</t>
  </si>
  <si>
    <t>LIC Policies premium - Yearly</t>
  </si>
  <si>
    <t>2.  Disignation</t>
  </si>
  <si>
    <t>Head Master</t>
  </si>
  <si>
    <t>Half Pay leaves</t>
  </si>
  <si>
    <t>1st time</t>
  </si>
  <si>
    <t>Bajaj Alliance life Insurance</t>
  </si>
  <si>
    <t>3.  DDO Office &amp; Place</t>
  </si>
  <si>
    <t>2nd time</t>
  </si>
  <si>
    <t>ULIP LIC Yearly</t>
  </si>
  <si>
    <t>4.  Mandal</t>
  </si>
  <si>
    <t>LIC Annuity Plan (Jeevan Dhara, Jeevan Akhsay etc.)</t>
  </si>
  <si>
    <t>Rajiv Gandhi Equity Saving Scheem</t>
  </si>
  <si>
    <t>DEDUCTIONS</t>
  </si>
  <si>
    <t>Deductions for disabled(blind,PH) person (40%)</t>
  </si>
  <si>
    <t>Expenditure on treatment for diseases( senior citizen)</t>
  </si>
  <si>
    <t>0 days</t>
  </si>
  <si>
    <t>1 days</t>
  </si>
  <si>
    <t>2 days</t>
  </si>
  <si>
    <t>3 days</t>
  </si>
  <si>
    <t>4 days</t>
  </si>
  <si>
    <t>5 days</t>
  </si>
  <si>
    <t>6 days</t>
  </si>
  <si>
    <t>Half.P.L</t>
  </si>
  <si>
    <t>7 days</t>
  </si>
  <si>
    <t>Increment</t>
  </si>
  <si>
    <t>FR 22(a)i</t>
  </si>
  <si>
    <t>FR 22B</t>
  </si>
  <si>
    <t>8 days</t>
  </si>
  <si>
    <t>9 days</t>
  </si>
  <si>
    <t>10 days</t>
  </si>
  <si>
    <t>S.A (P.D)</t>
  </si>
  <si>
    <t>11 days</t>
  </si>
  <si>
    <t>PET</t>
  </si>
  <si>
    <t>12 days</t>
  </si>
  <si>
    <t>SGT</t>
  </si>
  <si>
    <t>13 days</t>
  </si>
  <si>
    <t>LFL HM</t>
  </si>
  <si>
    <t>14 days</t>
  </si>
  <si>
    <t>SA(Telugu)</t>
  </si>
  <si>
    <t>15 days</t>
  </si>
  <si>
    <t>SA(Hindi)</t>
  </si>
  <si>
    <t>16 days</t>
  </si>
  <si>
    <t>SA(Eng)</t>
  </si>
  <si>
    <t>Month of Annual Increment after Jan-13</t>
  </si>
  <si>
    <t>17 days</t>
  </si>
  <si>
    <t>SA(Maths)</t>
  </si>
  <si>
    <t>Prephonement Increment Month</t>
  </si>
  <si>
    <t>18 days</t>
  </si>
  <si>
    <t>SA(PS)</t>
  </si>
  <si>
    <t>Stepup Increment Month</t>
  </si>
  <si>
    <t>Gr.II/ S.G.T</t>
  </si>
  <si>
    <t>19 days</t>
  </si>
  <si>
    <t>SA(Bio.Sc)</t>
  </si>
  <si>
    <t>Promotion ( one Increment )</t>
  </si>
  <si>
    <t>20 days</t>
  </si>
  <si>
    <t>SA(Social)</t>
  </si>
  <si>
    <t>Promotion ( Two Increment or Promotion date )</t>
  </si>
  <si>
    <t>S.G.T</t>
  </si>
  <si>
    <t>21 days</t>
  </si>
  <si>
    <t>AAS Increment (6/12/18/24 years)</t>
  </si>
  <si>
    <t>22 days</t>
  </si>
  <si>
    <t>Gr-2 (Telugu)</t>
  </si>
  <si>
    <t>23 days</t>
  </si>
  <si>
    <t>Gr-2 (Hindi)</t>
  </si>
  <si>
    <t>24 days</t>
  </si>
  <si>
    <t>Tuition Fee for Two children</t>
  </si>
  <si>
    <t>MEO</t>
  </si>
  <si>
    <t>25 days</t>
  </si>
  <si>
    <t>SA (                )</t>
  </si>
  <si>
    <t>26 days</t>
  </si>
  <si>
    <t>Repayment of Home Loan installments</t>
  </si>
  <si>
    <t>Smt.</t>
  </si>
  <si>
    <t>27 days</t>
  </si>
  <si>
    <t>SBI  Life Insurance</t>
  </si>
  <si>
    <t>Kum.</t>
  </si>
  <si>
    <t>28 days</t>
  </si>
  <si>
    <t>National Savings Certificates (NSC)</t>
  </si>
  <si>
    <t>29 days</t>
  </si>
  <si>
    <t>Contribution to Pension Scheme</t>
  </si>
  <si>
    <t>30 days</t>
  </si>
  <si>
    <t>Birla Sun Life Insurance</t>
  </si>
  <si>
    <t>HMA</t>
  </si>
  <si>
    <t>31 days</t>
  </si>
  <si>
    <t>Reliance Life Insurance</t>
  </si>
  <si>
    <t>Avaiva Life Insurance</t>
  </si>
  <si>
    <t>with holidays</t>
  </si>
  <si>
    <t>ICICI Life Insurance</t>
  </si>
  <si>
    <t>Own House</t>
  </si>
  <si>
    <t>without holidays</t>
  </si>
  <si>
    <t>Public Provident Fund</t>
  </si>
  <si>
    <t>PP</t>
  </si>
  <si>
    <t>PLI</t>
  </si>
  <si>
    <t>Applicable</t>
  </si>
  <si>
    <t>UTI  Retirment benefit Pension fund</t>
  </si>
  <si>
    <t>Subscription to NSC VIII Issue</t>
  </si>
  <si>
    <t>C.P.S</t>
  </si>
  <si>
    <t>Subscription to deposit scheme of National Housing Bank</t>
  </si>
  <si>
    <t>Subscription made to equity shares/debentures</t>
  </si>
  <si>
    <t>Edu. All.</t>
  </si>
  <si>
    <t>Equity linked Savings Schemes (ELSS)</t>
  </si>
  <si>
    <t>Fixed deposit in banks more than 5-Years</t>
  </si>
  <si>
    <t>LIC / UTI  etc. Pension funds</t>
  </si>
  <si>
    <t>GIS</t>
  </si>
  <si>
    <t>Interest of Educational Loan</t>
  </si>
  <si>
    <t>swf &amp; ewf</t>
  </si>
  <si>
    <t>Expenditure on Medical treatment( for spified desiges)</t>
  </si>
  <si>
    <t>Medical Insurance premium ( for employee)</t>
  </si>
  <si>
    <t>Medical Insurance premium ( senior citizen)</t>
  </si>
  <si>
    <t>Not Availed</t>
  </si>
  <si>
    <t>Deductions for disabled(blind,PH) person(80%)</t>
  </si>
  <si>
    <t>16A</t>
  </si>
  <si>
    <t>Donation of Charitable Institution-50%</t>
  </si>
  <si>
    <t>Donation of Charitable Institution-100%</t>
  </si>
  <si>
    <t>Donation on certain specified funds-100%</t>
  </si>
  <si>
    <t>Payments made to electoral Trusts-100%</t>
  </si>
  <si>
    <t>80E</t>
  </si>
  <si>
    <t>80DD</t>
  </si>
  <si>
    <t>80D</t>
  </si>
  <si>
    <t>80U</t>
  </si>
  <si>
    <t>80G</t>
  </si>
  <si>
    <t>80GGC</t>
  </si>
  <si>
    <t>Zero</t>
  </si>
  <si>
    <t>One</t>
  </si>
  <si>
    <t xml:space="preserve">Two </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</si>
  <si>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</si>
  <si>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</si>
  <si>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</si>
  <si>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</si>
  <si>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</si>
  <si>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</si>
  <si>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</si>
  <si>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</si>
  <si>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</si>
  <si>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</si>
  <si>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</si>
  <si>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</si>
  <si>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</si>
  <si>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</si>
  <si>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</si>
  <si>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</si>
  <si>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</si>
  <si>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</si>
  <si>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</si>
  <si>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</si>
  <si>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</si>
  <si>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</si>
  <si>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</si>
  <si>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</si>
  <si>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</si>
  <si>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</si>
  <si>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 xml:space="preserve">Twenty Nine </t>
  </si>
  <si>
    <t xml:space="preserve">Thirty </t>
  </si>
  <si>
    <t>Thirty One</t>
  </si>
  <si>
    <t>Thirty Two</t>
  </si>
  <si>
    <t>Thirty Three</t>
  </si>
  <si>
    <t>Thirty Four</t>
  </si>
  <si>
    <t>Thirty Five</t>
  </si>
  <si>
    <t>Thirty Six</t>
  </si>
  <si>
    <t>Thirty Seven</t>
  </si>
  <si>
    <t xml:space="preserve">Thirty Eight </t>
  </si>
  <si>
    <t>Thirty Nine</t>
  </si>
  <si>
    <t>Fourty</t>
  </si>
  <si>
    <t>Fourty One</t>
  </si>
  <si>
    <t>Fourty Two</t>
  </si>
  <si>
    <t>Fourty Three</t>
  </si>
  <si>
    <t>Fourty Four</t>
  </si>
  <si>
    <t>Fourty Five</t>
  </si>
  <si>
    <t>Fourty Six</t>
  </si>
  <si>
    <t>Fourty Seven</t>
  </si>
  <si>
    <t>Fourty Eight</t>
  </si>
  <si>
    <t>Fourty Nine</t>
  </si>
  <si>
    <t>Fifty</t>
  </si>
  <si>
    <t>Fifty One</t>
  </si>
  <si>
    <t>Fifty Two</t>
  </si>
  <si>
    <t>Fifty Three</t>
  </si>
  <si>
    <t>Fifty Four</t>
  </si>
  <si>
    <t>Fifty Five</t>
  </si>
  <si>
    <t>Fifty Six</t>
  </si>
  <si>
    <t>Fifty Seven</t>
  </si>
  <si>
    <t>Fifty Eight</t>
  </si>
  <si>
    <t>Fifty Nine</t>
  </si>
  <si>
    <t xml:space="preserve">Sixty </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</si>
  <si>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</si>
  <si>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</si>
  <si>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</si>
  <si>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</si>
  <si>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</si>
  <si>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</si>
  <si>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</si>
  <si>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</si>
  <si>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</si>
  <si>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</si>
  <si>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</si>
  <si>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</si>
  <si>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</si>
  <si>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</si>
  <si>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</si>
  <si>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</si>
  <si>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</si>
  <si>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</si>
  <si>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</si>
  <si>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Eighty</t>
  </si>
  <si>
    <t>Eighty One</t>
  </si>
  <si>
    <t>Eighty Two</t>
  </si>
  <si>
    <t>Eighty Three</t>
  </si>
  <si>
    <t>Eighty Four</t>
  </si>
  <si>
    <t>Eighty Five</t>
  </si>
  <si>
    <t>Eighty Six</t>
  </si>
  <si>
    <t>Eighty Seven</t>
  </si>
  <si>
    <t>Eighty Eight</t>
  </si>
  <si>
    <t>Eighty Nine</t>
  </si>
  <si>
    <t>Ninty</t>
  </si>
  <si>
    <t>Ninty One</t>
  </si>
  <si>
    <t xml:space="preserve">Ninty Two </t>
  </si>
  <si>
    <t>Ninty Three</t>
  </si>
  <si>
    <t>Ninty Four</t>
  </si>
  <si>
    <t>Ninty Five</t>
  </si>
  <si>
    <t>Ninty Six</t>
  </si>
  <si>
    <t>Ninty Seven</t>
  </si>
  <si>
    <t>Ninty Eight</t>
  </si>
  <si>
    <t>Ninty Nine</t>
  </si>
  <si>
    <t xml:space="preserve">                                      </t>
  </si>
  <si>
    <t xml:space="preserve">                        </t>
  </si>
  <si>
    <t>Lakhs</t>
  </si>
  <si>
    <t>Thousands</t>
  </si>
  <si>
    <t>Hundred</t>
  </si>
  <si>
    <t xml:space="preserve">                                                     </t>
  </si>
  <si>
    <t xml:space="preserve">                                                                        </t>
  </si>
  <si>
    <t xml:space="preserve">                                        </t>
  </si>
  <si>
    <t xml:space="preserve">                                         </t>
  </si>
  <si>
    <t xml:space="preserve">                     </t>
  </si>
  <si>
    <t xml:space="preserve">                      </t>
  </si>
  <si>
    <t xml:space="preserve">                                                                                                      </t>
  </si>
  <si>
    <t xml:space="preserve"> </t>
  </si>
  <si>
    <t xml:space="preserve">                                                              </t>
  </si>
  <si>
    <t>DATES</t>
  </si>
  <si>
    <t>PAY</t>
  </si>
  <si>
    <t>PT</t>
  </si>
  <si>
    <t>HRA-10%SALARY</t>
  </si>
  <si>
    <t>date</t>
  </si>
  <si>
    <t>month</t>
  </si>
  <si>
    <t>year</t>
  </si>
  <si>
    <t>pha</t>
  </si>
  <si>
    <t>pay</t>
  </si>
  <si>
    <t>Old DA</t>
  </si>
  <si>
    <t>New DA</t>
  </si>
  <si>
    <t>Tax</t>
  </si>
  <si>
    <t>Diffarence</t>
  </si>
  <si>
    <t>TAX</t>
  </si>
  <si>
    <t>RIS</t>
  </si>
  <si>
    <t>LIC</t>
  </si>
  <si>
    <t>APGLI</t>
  </si>
  <si>
    <t>surender leave</t>
  </si>
  <si>
    <t>Cash</t>
  </si>
  <si>
    <t>Gross</t>
  </si>
  <si>
    <t>CPS</t>
  </si>
  <si>
    <t>Ptax</t>
  </si>
  <si>
    <t>SWF/EWF</t>
  </si>
  <si>
    <t>Advance Tax</t>
  </si>
  <si>
    <t>Total Deduction</t>
  </si>
  <si>
    <t>Net</t>
  </si>
  <si>
    <t>cash</t>
  </si>
  <si>
    <t xml:space="preserve">Surrender leave D.A. difference </t>
  </si>
  <si>
    <t>CASH</t>
  </si>
  <si>
    <t>TOTAL</t>
  </si>
  <si>
    <t>Surrender Leave</t>
  </si>
  <si>
    <t>S.No</t>
  </si>
  <si>
    <t>Month &amp; Year</t>
  </si>
  <si>
    <t>D.A</t>
  </si>
  <si>
    <t>H.R.A</t>
  </si>
  <si>
    <t>Gross Total</t>
  </si>
  <si>
    <t>Adavance Tax</t>
  </si>
  <si>
    <t>Grand totals</t>
  </si>
  <si>
    <t>Signature of the DDO</t>
  </si>
  <si>
    <t>Signature of the Employee</t>
  </si>
  <si>
    <t>ANNEXURE - II</t>
  </si>
  <si>
    <t>Name</t>
  </si>
  <si>
    <t>Whether living in ---------</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</si>
  <si>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</si>
  <si>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</si>
  <si>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</si>
  <si>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</si>
  <si>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</si>
  <si>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</si>
  <si>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</si>
  <si>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</si>
  <si>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</si>
  <si>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</si>
  <si>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</si>
  <si>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Profession Tax U/s 16 (3) B</t>
  </si>
  <si>
    <t>Income From Salary (4-5)</t>
  </si>
  <si>
    <t>Add: Income From other sources</t>
  </si>
  <si>
    <t>Add: Income From Capital Gains</t>
  </si>
  <si>
    <t>Income or Loss from House Property U/s 24(vi)</t>
  </si>
  <si>
    <t>Gross Total Income  (6+7+8+9)</t>
  </si>
  <si>
    <t>Deductions</t>
  </si>
  <si>
    <t>g)</t>
  </si>
  <si>
    <t>h)</t>
  </si>
  <si>
    <t>TOTAL-----------</t>
  </si>
  <si>
    <t>Gross Total Income  (10-11)</t>
  </si>
  <si>
    <t>d)</t>
  </si>
  <si>
    <t>e)</t>
  </si>
  <si>
    <t>f)</t>
  </si>
  <si>
    <t>i)</t>
  </si>
  <si>
    <t>Total Savings</t>
  </si>
  <si>
    <t>Net Taxable Income (12-13)</t>
  </si>
  <si>
    <t>Tax on Income</t>
  </si>
  <si>
    <t>Nil</t>
  </si>
  <si>
    <t xml:space="preserve">5,00,001/- to 10,00,000/- 20% </t>
  </si>
  <si>
    <t>above Rs.10,00,001 - 30%</t>
  </si>
  <si>
    <t>Secondary &amp; Higher Education Cess   2%</t>
  </si>
  <si>
    <t>Details of Adv.Tax Deductions</t>
  </si>
  <si>
    <t>Advance Tax paid</t>
  </si>
  <si>
    <t>Net Tax to be Paid</t>
  </si>
  <si>
    <t>Signature of the Drawing Officer</t>
  </si>
  <si>
    <r>
      <t>FORM No. 16</t>
    </r>
    <r>
      <rPr>
        <sz val="12"/>
        <rFont val="Times New Roman"/>
        <family val="1"/>
      </rPr>
      <t xml:space="preserve"> </t>
    </r>
    <r>
      <rPr>
        <sz val="16"/>
        <rFont val="Times New Roman"/>
        <family val="1"/>
      </rPr>
      <t xml:space="preserve"> </t>
    </r>
  </si>
  <si>
    <t xml:space="preserve"> ( Vide rule 31(1)(a) of Income Tax Rules, 1962 )                                                                                                                                                    Certificate under section 203 of the Income-tax Act, 1961 </t>
  </si>
  <si>
    <t>for Tax deducted at source from income chargeable under the head "salaries"</t>
  </si>
  <si>
    <t>NAME AND ADDRESS OF THE EMPLOYER</t>
  </si>
  <si>
    <t>NAME AND DESIGNATION OF THE EMPLOYEE</t>
  </si>
  <si>
    <t>PAN No. of Deductor</t>
  </si>
  <si>
    <t>TAN No. of Deductor</t>
  </si>
  <si>
    <t>PAN OF Employee</t>
  </si>
  <si>
    <t>Acknowledgement Nos.of allquarterly statements of TDS under sub-section 200 as provided by TIN facilitation center or NSDL web-site</t>
  </si>
  <si>
    <t>Quarter</t>
  </si>
  <si>
    <t>Acknowledgement No</t>
  </si>
  <si>
    <t>Amount</t>
  </si>
  <si>
    <t>Period</t>
  </si>
  <si>
    <t>Assessment</t>
  </si>
  <si>
    <t>From</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</si>
  <si>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</si>
  <si>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</si>
  <si>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</si>
  <si>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</si>
  <si>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</si>
  <si>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</si>
  <si>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</si>
  <si>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</si>
  <si>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</si>
  <si>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</si>
  <si>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</si>
  <si>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</si>
  <si>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</si>
  <si>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</si>
  <si>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</si>
  <si>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</si>
  <si>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</si>
  <si>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</si>
  <si>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</si>
  <si>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</si>
  <si>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</si>
  <si>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</si>
  <si>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80C,80CCC,80CCD,80CCF</t>
  </si>
  <si>
    <t>Qualifying</t>
  </si>
  <si>
    <t>Section 80C</t>
  </si>
  <si>
    <t>i</t>
  </si>
  <si>
    <t>ii</t>
  </si>
  <si>
    <t>A.P.G.L.I</t>
  </si>
  <si>
    <t>iii</t>
  </si>
  <si>
    <t>G.I.S</t>
  </si>
  <si>
    <t>iv</t>
  </si>
  <si>
    <t>v</t>
  </si>
  <si>
    <t>vi</t>
  </si>
  <si>
    <t>vii</t>
  </si>
  <si>
    <t>viii</t>
  </si>
  <si>
    <t>IX</t>
  </si>
  <si>
    <t>Total Under Section 80C,80CCC,80CCD,80CCF…</t>
  </si>
  <si>
    <t>B)</t>
  </si>
  <si>
    <t>Other Section Under Chapter VI A</t>
  </si>
  <si>
    <t xml:space="preserve"> ( Under Section 80E, 80G, 80DD etc.</t>
  </si>
  <si>
    <t>Total Under Sections 80G,80E,80DD etc…..</t>
  </si>
  <si>
    <t>Aggregate of Deductible Amounts U/Chapter VIA (A+B)………</t>
  </si>
  <si>
    <t>TOTAL INCOME  (8-10)</t>
  </si>
  <si>
    <t>TAX ON TOTAL INCOME Rs.</t>
  </si>
  <si>
    <t>Secondary and Higher Education Cess @ 2% (On Tax at S.No.12)</t>
  </si>
  <si>
    <t>Less: Realief under section 89 (attach details)</t>
  </si>
  <si>
    <t>Less: (a) Tax deducted at source U/S 192 (1)</t>
  </si>
  <si>
    <t>(b) Tax paid by the Employer on behalf of the Employee U/S 192 (A1) on perquisited U/S 17 (2)</t>
  </si>
  <si>
    <t>TAX PAYBLE / REFUNDABLE (17-18)</t>
  </si>
  <si>
    <t>DETAILS OF TAX DEDUCTED AND DEPOSITED INTO CENTRAL GOVERNMENT ACCOUNT</t>
  </si>
  <si>
    <t>( The employer is provide tranction - wise details of tax deducted and deposited )</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</si>
  <si>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</si>
  <si>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</si>
  <si>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</si>
  <si>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</si>
  <si>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</si>
  <si>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</si>
  <si>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</si>
  <si>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</si>
  <si>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</si>
  <si>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</si>
  <si>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</si>
  <si>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</si>
  <si>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</si>
  <si>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</si>
  <si>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</si>
  <si>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</si>
  <si>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</si>
  <si>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</si>
  <si>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Sign--</t>
  </si>
  <si>
    <t>Place:</t>
  </si>
  <si>
    <t>Signature of the person responsible for deduction of tax</t>
  </si>
  <si>
    <t>Date:</t>
  </si>
  <si>
    <t>Full Name--</t>
  </si>
  <si>
    <t>Designation-</t>
  </si>
  <si>
    <t>Basic Pay</t>
  </si>
  <si>
    <t>FORM NO. 10-I</t>
  </si>
  <si>
    <t>[See rule 11DD]</t>
  </si>
  <si>
    <t>Certificate of prescribed authority for the purposes of section 80DDB</t>
  </si>
  <si>
    <t xml:space="preserve">      1. Name of the Patient</t>
  </si>
  <si>
    <t xml:space="preserve">      2. Address</t>
  </si>
  <si>
    <t xml:space="preserve">      3. Father’s name</t>
  </si>
  <si>
    <t xml:space="preserve">      4. Name and address of the person on whom the patient is dependent</t>
  </si>
  <si>
    <t xml:space="preserve">          and his relationship with the patient.</t>
  </si>
  <si>
    <t xml:space="preserve">      5. Name of the disease or ailment</t>
  </si>
  <si>
    <t xml:space="preserve">          (please see rule 11DD)</t>
  </si>
  <si>
    <t xml:space="preserve">      6. For diseases or ailments mentioned in item (i) of clause (a) of</t>
  </si>
  <si>
    <t xml:space="preserve">          sub-rule (1), whether the disability is 40% or more (Please specify the extent)</t>
  </si>
  <si>
    <t xml:space="preserve">      7. Name, address, registration number and qualification of the</t>
  </si>
  <si>
    <t xml:space="preserve">          specialist issuing the certificate, along with the name and address</t>
  </si>
  <si>
    <t xml:space="preserve">          of the Government hospital [see rule 11DD(2)] Verification</t>
  </si>
  <si>
    <t>VERIFICATION</t>
  </si>
  <si>
    <t>This is to verify that I, Dr.________________________________________________ s/o (w/o)</t>
  </si>
  <si>
    <t>Shri_____________________, in the case of the patient Shri/Smt./Ms.________________________,</t>
  </si>
  <si>
    <t>after  considering  the  entire  history of  illness,  careful  examination  and  appropriate  investigations,</t>
  </si>
  <si>
    <t>am of the opinion that the patient is suffering from______________________________disease/ailment</t>
  </si>
  <si>
    <t>during the previous year ending on 31st March,_______________________</t>
  </si>
  <si>
    <t>I also certify (only in case of neurological disease) that the extent of disability is more than 40%)</t>
  </si>
  <si>
    <t>(Strike off, if not applicable).</t>
  </si>
  <si>
    <t>I certify that the information furnished above is true to the best of my knowledge.</t>
  </si>
  <si>
    <t>Date _______________                                                                     Signature</t>
  </si>
  <si>
    <t>Place _______________</t>
  </si>
  <si>
    <t xml:space="preserve">                                                                                                (Name and Address)</t>
  </si>
  <si>
    <t xml:space="preserve">   To be countersigned by the Head of the Government hospital, where the prescribed authority is a</t>
  </si>
  <si>
    <t>specialist with post-graduate degree in General or Internal Medicine.</t>
  </si>
  <si>
    <t>Date ______________                                                                    Signature</t>
  </si>
  <si>
    <t>Place ______________</t>
  </si>
  <si>
    <t xml:space="preserve">                                                                                                 (Name and Address)</t>
  </si>
  <si>
    <t>FORM NO. 10-IA</t>
  </si>
  <si>
    <t>[See sub-rule (2) of rule 11A]</t>
  </si>
  <si>
    <t>Certificate of the medical authority for certifying ‘person with disability’, ‘severe disability',</t>
  </si>
  <si>
    <t>autsm', ‘cerebral palsy’ and ‘multiple disability’ for purposes of section 80 DD and section 80U</t>
  </si>
  <si>
    <t>Certificate No.</t>
  </si>
  <si>
    <t>Date :</t>
  </si>
  <si>
    <t xml:space="preserve">         This is to certify that Shri/Smt./Ms.________________________________ son/daughter of</t>
  </si>
  <si>
    <t>residing at______________________________________, Registration No._______________is a</t>
  </si>
  <si>
    <t xml:space="preserve">person with disability/severe disability* suffering from autism/cerebral palsy/multiple disability.       </t>
  </si>
  <si>
    <t>2. This condition is progressive/non-progressive/likely to improve/not likely to improve*.</t>
  </si>
  <si>
    <t>3. Reassessment is recommended/not recommended after a period of _____months/years</t>
  </si>
  <si>
    <t>Sd/-</t>
  </si>
  <si>
    <t>Name :___________________</t>
  </si>
  <si>
    <t>Address of Institution/Government hospital :</t>
  </si>
  <si>
    <t>____________________________________</t>
  </si>
  <si>
    <t>Qualification/designation of specialist :____________________</t>
  </si>
  <si>
    <t>SEAL</t>
  </si>
  <si>
    <t>RECEIPT OF HOUSE RENT</t>
  </si>
  <si>
    <t>(Under Section 1 (13-A) of Income Tax Act )</t>
  </si>
  <si>
    <t>(Affix Revenue Stamp of Rs.1/-)</t>
  </si>
  <si>
    <t xml:space="preserve">                                  </t>
  </si>
  <si>
    <t>Name:</t>
  </si>
  <si>
    <t>Edu. Concession</t>
  </si>
  <si>
    <t>If any change GIS</t>
  </si>
  <si>
    <t>Total Tax Payable (15-16)</t>
  </si>
  <si>
    <t>Total  (18+19+20)</t>
  </si>
  <si>
    <t>TAX PAYABLE (14+15+16)</t>
  </si>
  <si>
    <t>TAX PAYABLE (17-18)</t>
  </si>
  <si>
    <t xml:space="preserve">Address: </t>
  </si>
  <si>
    <t>Recieved HRA</t>
  </si>
  <si>
    <t>Raise Monthly House Rent in 100 Multiple (Any change HRA) ,7500-Correct,7595-Wrong.</t>
  </si>
  <si>
    <t>zero</t>
  </si>
  <si>
    <t>Total Deductions</t>
  </si>
  <si>
    <t>Mandal</t>
  </si>
  <si>
    <t>District</t>
  </si>
  <si>
    <t>Your House  Address</t>
  </si>
  <si>
    <t>D.No.</t>
  </si>
  <si>
    <t>Gooty</t>
  </si>
  <si>
    <t>Anantapur</t>
  </si>
  <si>
    <t>Street/Area</t>
  </si>
  <si>
    <t>Town/Village</t>
  </si>
  <si>
    <t>Please fill your house Details</t>
  </si>
  <si>
    <t xml:space="preserve">PAN No: </t>
  </si>
  <si>
    <t>With Undertaking</t>
  </si>
  <si>
    <t>Without Undertaking</t>
  </si>
  <si>
    <t>Greater Hyderabad</t>
  </si>
  <si>
    <t>Greater Vishaka &amp; Vijayawada</t>
  </si>
  <si>
    <t>Other Municipal Corporations</t>
  </si>
  <si>
    <t xml:space="preserve">Hyderabad, Secunderabad </t>
  </si>
  <si>
    <t xml:space="preserve">Visakhapatnam &amp; Vijayawada </t>
  </si>
  <si>
    <t xml:space="preserve">Other Mpl.Corporations </t>
  </si>
  <si>
    <t>CCA</t>
  </si>
  <si>
    <t>IR</t>
  </si>
  <si>
    <t>HDFC life Insurance</t>
  </si>
  <si>
    <t>No change</t>
  </si>
  <si>
    <t>A HRA</t>
  </si>
  <si>
    <t>AHRA</t>
  </si>
  <si>
    <t>RA</t>
  </si>
  <si>
    <t>Not Applicaple</t>
  </si>
  <si>
    <t>Reading Allowance</t>
  </si>
  <si>
    <t>Additional HRA</t>
  </si>
  <si>
    <t>EWF , SWF &amp; CMRF</t>
  </si>
  <si>
    <t>(Neurologist/Pediatric Neurologist/Civil Surgeon/Chief Medical Officer)</t>
  </si>
  <si>
    <t>Signature/Thumb impression  of the patient</t>
  </si>
  <si>
    <t>Shri____________________________________, age________ years___________male/female</t>
  </si>
  <si>
    <t>Interest of Housing Loan</t>
  </si>
  <si>
    <r>
      <t xml:space="preserve">Amount </t>
    </r>
    <r>
      <rPr>
        <b/>
        <sz val="11"/>
        <color indexed="10"/>
        <rFont val="Times New Roman"/>
        <family val="1"/>
      </rPr>
      <t>↓</t>
    </r>
  </si>
  <si>
    <r>
      <t xml:space="preserve">Month </t>
    </r>
    <r>
      <rPr>
        <b/>
        <sz val="11"/>
        <color indexed="10"/>
        <rFont val="Times New Roman"/>
        <family val="1"/>
      </rPr>
      <t>↓</t>
    </r>
  </si>
  <si>
    <r>
      <t xml:space="preserve">Select  </t>
    </r>
    <r>
      <rPr>
        <b/>
        <sz val="14"/>
        <color indexed="10"/>
        <rFont val="Times New Roman"/>
        <family val="1"/>
      </rPr>
      <t>PF/CPS</t>
    </r>
  </si>
  <si>
    <r>
      <t>LIC</t>
    </r>
    <r>
      <rPr>
        <b/>
        <sz val="9"/>
        <color indexed="8"/>
        <rFont val="Times New Roman"/>
        <family val="1"/>
      </rPr>
      <t xml:space="preserve">  Paid Monthly in Salary</t>
    </r>
  </si>
  <si>
    <r>
      <t xml:space="preserve">Arrear Name </t>
    </r>
    <r>
      <rPr>
        <b/>
        <sz val="11"/>
        <color indexed="10"/>
        <rFont val="Times New Roman"/>
        <family val="1"/>
      </rPr>
      <t>↓</t>
    </r>
  </si>
  <si>
    <t xml:space="preserve"> Adjust to PF/CPS</t>
  </si>
  <si>
    <t>Employee who is drawing HRA upto Rs.3000/- (Annually Rs.36000/-)Per month will be exempted from production of Rent Recept ( Annual House Rent paid not exceed Rs.1,00,000)</t>
  </si>
  <si>
    <t>Owner's  and Address :</t>
  </si>
  <si>
    <t>5.  DDO PAN No.</t>
  </si>
  <si>
    <t>j)</t>
  </si>
  <si>
    <t xml:space="preserve">LIC Policies Monthly Premium in Salary </t>
  </si>
  <si>
    <t>x</t>
  </si>
  <si>
    <t>SCA</t>
  </si>
  <si>
    <t>Non mandal</t>
  </si>
  <si>
    <t>Hills/Hill tops</t>
  </si>
  <si>
    <t>Nonmandal</t>
  </si>
  <si>
    <t>mandal</t>
  </si>
  <si>
    <t>Hills</t>
  </si>
  <si>
    <t>sca</t>
  </si>
  <si>
    <t>ahra</t>
  </si>
  <si>
    <t>Teachers ( Vacation Dept.)</t>
  </si>
  <si>
    <t>Others ( Non vacation Dept. )</t>
  </si>
  <si>
    <t xml:space="preserve">Teacher ( vacation)  or Other ( Non vacation) </t>
  </si>
  <si>
    <t xml:space="preserve">                                                                         PLEASE  FILL  YOUR DETAILS ONLY WHITE CELLS</t>
  </si>
  <si>
    <t>6. DDO TAN No.</t>
  </si>
  <si>
    <t>Name of the Village/Town</t>
  </si>
  <si>
    <t xml:space="preserve">              SCA</t>
  </si>
  <si>
    <r>
      <t xml:space="preserve">ADVANCE TAX PAID                                                  </t>
    </r>
    <r>
      <rPr>
        <b/>
        <sz val="11"/>
        <color indexed="61"/>
        <rFont val="Times New Roman"/>
        <family val="1"/>
      </rPr>
      <t xml:space="preserve"> (Deduction in Salary Monthwise)</t>
    </r>
  </si>
  <si>
    <t>Select</t>
  </si>
  <si>
    <t>Any Other Entry</t>
  </si>
  <si>
    <t>Employee PAY &amp; Allowances Details</t>
  </si>
  <si>
    <t xml:space="preserve">   </t>
  </si>
  <si>
    <t xml:space="preserve">Please visit more update softwares in my website </t>
  </si>
  <si>
    <t>Name of the School/Office</t>
  </si>
  <si>
    <r>
      <t xml:space="preserve">By cash </t>
    </r>
    <r>
      <rPr>
        <b/>
        <sz val="16"/>
        <color indexed="10"/>
        <rFont val="Times New Roman"/>
        <family val="1"/>
      </rPr>
      <t>↓</t>
    </r>
  </si>
  <si>
    <t>L-236548</t>
  </si>
  <si>
    <t>Employee Salary Deductions</t>
  </si>
  <si>
    <t>E.W.F. &amp; S.W.F &amp; CMRF</t>
  </si>
  <si>
    <r>
      <t xml:space="preserve">C.Ramanjaneyulu                        S.A( P.S ),              ZPHS, Jonnagiri, Kurnool(Dt.)                          </t>
    </r>
    <r>
      <rPr>
        <b/>
        <sz val="9"/>
        <color indexed="10"/>
        <rFont val="Times New Roman"/>
        <family val="1"/>
      </rPr>
      <t>Please, Any Suggestions &amp; Corrections call me.</t>
    </r>
    <r>
      <rPr>
        <b/>
        <sz val="11"/>
        <color indexed="8"/>
        <rFont val="Times New Roman"/>
        <family val="1"/>
      </rPr>
      <t xml:space="preserve">            Contact No:       9160840947</t>
    </r>
  </si>
  <si>
    <t>SWF/ EWF/  CMRF</t>
  </si>
  <si>
    <t>Education concession</t>
  </si>
  <si>
    <t xml:space="preserve">Print  only A4 size paper </t>
  </si>
  <si>
    <t>HRA under taking select</t>
  </si>
  <si>
    <t>Rented / Own House</t>
  </si>
  <si>
    <t>CSS Arrears( Principa Amount + Intrest)</t>
  </si>
  <si>
    <t>Treasury Id No.</t>
  </si>
  <si>
    <t>No:</t>
  </si>
  <si>
    <t>2/564</t>
  </si>
  <si>
    <t>Near : Bus Stand</t>
  </si>
  <si>
    <t>Treasury Id. No.</t>
  </si>
  <si>
    <t xml:space="preserve"> Date:                                               </t>
  </si>
  <si>
    <t xml:space="preserve"> Signature of the House Owner</t>
  </si>
  <si>
    <t>Enter Amount PP/SP/Addl. Inc.</t>
  </si>
  <si>
    <t>pp</t>
  </si>
  <si>
    <t>Office:</t>
  </si>
  <si>
    <t>Enter below cells any Arrears Details</t>
  </si>
  <si>
    <t>Tax Rebate Rs. 2000/-upto  Rs.5,00,000 Taxble Income( U/s 87 A)</t>
  </si>
  <si>
    <t>Disabled Person(PH)-above 40%disability( Rule 11A)</t>
  </si>
  <si>
    <t>Disabled Person(PH)-above 80%disability( Rule 11A)</t>
  </si>
  <si>
    <t>House rent paid monthly</t>
  </si>
  <si>
    <t>X 12</t>
  </si>
  <si>
    <t>10% of salary</t>
  </si>
  <si>
    <t>SP/PP/Add.Inc.</t>
  </si>
  <si>
    <t>80DDB</t>
  </si>
  <si>
    <t>098756</t>
  </si>
  <si>
    <t>Address:</t>
  </si>
  <si>
    <t xml:space="preserve">Actual House Rent paid by you minus 10% of your Salary   </t>
  </si>
  <si>
    <t>Housing intrest</t>
  </si>
  <si>
    <t>rent property</t>
  </si>
  <si>
    <t>Municipal tax</t>
  </si>
  <si>
    <t>30% maintenance</t>
  </si>
  <si>
    <r>
      <t xml:space="preserve">                                                                                                                                                                                        </t>
    </r>
    <r>
      <rPr>
        <b/>
        <sz val="12"/>
        <color indexed="12"/>
        <rFont val="Tahoma"/>
        <family val="2"/>
      </rPr>
      <t xml:space="preserve"> www.kurnooolbadi.in</t>
    </r>
  </si>
  <si>
    <t xml:space="preserve">   www.kurnooolbadi.in</t>
  </si>
  <si>
    <t>Select your  State</t>
  </si>
  <si>
    <t>If you CPS, Do you want to Add Govt. contribustion 10% amount in CPS</t>
  </si>
  <si>
    <t>Rent received during the year (Annual Value)</t>
  </si>
  <si>
    <t>Muncipal Tax Paid</t>
  </si>
  <si>
    <t>30% of Income as Maintenance</t>
  </si>
  <si>
    <t xml:space="preserve">      If housing loan taken first time after 1/4/13</t>
  </si>
  <si>
    <t xml:space="preserve"> Loss or Income from House property select (U/s 24)</t>
  </si>
  <si>
    <r>
      <t>Income Tax Software  2014 - 15 ( Calculator )</t>
    </r>
    <r>
      <rPr>
        <b/>
        <sz val="12"/>
        <color indexed="12"/>
        <rFont val="Arial"/>
        <family val="2"/>
      </rPr>
      <t xml:space="preserve"> </t>
    </r>
  </si>
  <si>
    <r>
      <t xml:space="preserve">For update Income Tax software visit my website                         </t>
    </r>
    <r>
      <rPr>
        <sz val="14"/>
        <rFont val="Cambria"/>
        <family val="1"/>
      </rPr>
      <t xml:space="preserve"> </t>
    </r>
    <r>
      <rPr>
        <b/>
        <sz val="14"/>
        <rFont val="Cambria"/>
        <family val="1"/>
      </rPr>
      <t>www.kurnoolbadi.in</t>
    </r>
  </si>
  <si>
    <t xml:space="preserve">Financial year 2014- 15 -  Assessment Year 2015-16                                                                             </t>
  </si>
  <si>
    <t xml:space="preserve"> Follow theTax Rules &amp; Informations (where applicable). Following linked ready reaconer is for your reference.  </t>
  </si>
  <si>
    <t>New Tax  Rates  for Financial-Year 2014-15, Assessment Year  2015-2016</t>
  </si>
  <si>
    <t>Some  Exempted Receipts / Special allowances &amp;  Perquisite which are not chargable to tax</t>
  </si>
  <si>
    <t xml:space="preserve">Some Exempted Income ( to be shown while Return filing) </t>
  </si>
  <si>
    <t>T A X   R U L E S  &amp;  O T H E R   U S E F U L   I N F O R M A T I O N S</t>
  </si>
  <si>
    <t>I</t>
  </si>
  <si>
    <t xml:space="preserve">HRA exemption </t>
  </si>
  <si>
    <t>II</t>
  </si>
  <si>
    <t>Transport allowance</t>
  </si>
  <si>
    <t>III</t>
  </si>
  <si>
    <t xml:space="preserve">Reimbursement of Medical bills </t>
  </si>
  <si>
    <t>IV</t>
  </si>
  <si>
    <t xml:space="preserve"> u/s(5) LTA is exempt </t>
  </si>
  <si>
    <t xml:space="preserve"> u/s 24  Exemption for interest on housing loan.</t>
  </si>
  <si>
    <t>V</t>
  </si>
  <si>
    <t xml:space="preserve">u/s 80CCE  &amp; 80CCD Maximum Exemption </t>
  </si>
  <si>
    <t>VI</t>
  </si>
  <si>
    <t xml:space="preserve">Rajiv Gandhi Equity Savings Scheme </t>
  </si>
  <si>
    <t>VII</t>
  </si>
  <si>
    <t>u/s 80D Medical Insurance</t>
  </si>
  <si>
    <t>VIII</t>
  </si>
  <si>
    <t>u/s 80DD Deduction in respect of medical treatment of handicapped dependents</t>
  </si>
  <si>
    <t>u/s 80DDB Deduction in respect of medical treatment for specified ailments or diseases</t>
  </si>
  <si>
    <t>X</t>
  </si>
  <si>
    <t xml:space="preserve">u/s 80E Interest repayment on education loan </t>
  </si>
  <si>
    <t>XI</t>
  </si>
  <si>
    <t xml:space="preserve">u/s 80G Donations given for certain charities </t>
  </si>
  <si>
    <t>XII</t>
  </si>
  <si>
    <t>u/s 80GG If you are not getting  HRA,  but living in rented house,</t>
  </si>
  <si>
    <t>XIII</t>
  </si>
  <si>
    <t xml:space="preserve">u/s 80U If you have a permanent physical disability </t>
  </si>
  <si>
    <t>XIV</t>
  </si>
  <si>
    <t>u/s 80TTA Deduction on interest on saving bank accounts.</t>
  </si>
  <si>
    <t xml:space="preserve"> KNOW MORE about DEDUCTION under Section 80-C</t>
  </si>
  <si>
    <t>a</t>
  </si>
  <si>
    <t>Qualifying Investments u/s 80CCE</t>
  </si>
  <si>
    <t>b</t>
  </si>
  <si>
    <t xml:space="preserve">Provident Fund (PF) &amp; Voluntary Provident Fund (VPF) </t>
  </si>
  <si>
    <t>c</t>
  </si>
  <si>
    <t>Life Insurance Premiums &amp; Unit linked Insurance Plan (ULIP)</t>
  </si>
  <si>
    <t>d</t>
  </si>
  <si>
    <t>Public Provident Fund (PPF):</t>
  </si>
  <si>
    <t>e</t>
  </si>
  <si>
    <t>National Savings Certificate (NSC):</t>
  </si>
  <si>
    <t>f</t>
  </si>
  <si>
    <t xml:space="preserve">Home Loan Principal Repayment &amp; Stamp Duty and Registration Charges for a home </t>
  </si>
  <si>
    <t>g</t>
  </si>
  <si>
    <t xml:space="preserve">Tuition  fees  for 2 children </t>
  </si>
  <si>
    <t>h</t>
  </si>
  <si>
    <t>Equity Linked Savings Scheme (ELSS)</t>
  </si>
  <si>
    <t>5-Yr bank fixed deposits (FDs)  or 5-Yr post office time deposit (POTD)</t>
  </si>
  <si>
    <t>j</t>
  </si>
  <si>
    <t xml:space="preserve">Pension Funds or Pension Policies </t>
  </si>
  <si>
    <t>k</t>
  </si>
  <si>
    <t>Stamp Duty and Registration Charges for a home:</t>
  </si>
  <si>
    <t>l</t>
  </si>
  <si>
    <t>Infrastructure Bonds: NABARD rural bonds:</t>
  </si>
  <si>
    <t>m</t>
  </si>
  <si>
    <t>Senior Citizen Savings Scheme 2004 (SCSS)</t>
  </si>
  <si>
    <t>I M P O R T A N T -  A D V I S ES</t>
  </si>
  <si>
    <r>
      <rPr>
        <b/>
        <sz val="14"/>
        <color indexed="10"/>
        <rFont val="Cambria"/>
        <family val="1"/>
      </rPr>
      <t xml:space="preserve"> TAX  RATES  For Financial Year 2014-15  &amp;  </t>
    </r>
    <r>
      <rPr>
        <b/>
        <sz val="14"/>
        <color indexed="17"/>
        <rFont val="Cambria"/>
        <family val="1"/>
      </rPr>
      <t xml:space="preserve">Assesment Year 2015-16  </t>
    </r>
  </si>
  <si>
    <r>
      <rPr>
        <b/>
        <sz val="12"/>
        <rFont val="Cambria"/>
        <family val="1"/>
      </rPr>
      <t xml:space="preserve"> For MALE/FEMALE ASSESSE </t>
    </r>
    <r>
      <rPr>
        <b/>
        <sz val="9"/>
        <rFont val="Cambria"/>
        <family val="1"/>
      </rPr>
      <t xml:space="preserve"> </t>
    </r>
  </si>
  <si>
    <t xml:space="preserve">   Net Income Range                                        Income Tax Rates</t>
  </si>
  <si>
    <t xml:space="preserve">  Up to Rs.2,50,000                                                                             Nil </t>
  </si>
  <si>
    <t xml:space="preserve">  2,50,001 to Rs. 5,00,000                                             10% of Total Income (-) Rs.2,50,000 </t>
  </si>
  <si>
    <r>
      <t xml:space="preserve">  </t>
    </r>
    <r>
      <rPr>
        <b/>
        <sz val="9"/>
        <rFont val="Rupee Foradian Standard"/>
        <family val="2"/>
      </rPr>
      <t>Rs.</t>
    </r>
    <r>
      <rPr>
        <b/>
        <sz val="9"/>
        <rFont val="Arial"/>
        <family val="2"/>
      </rPr>
      <t>5,00,001 to Rs. 10,00,000                                     Rs25,000+20% of Total Income(-)Rs. 5,00,000</t>
    </r>
  </si>
  <si>
    <r>
      <t xml:space="preserve">  More than </t>
    </r>
    <r>
      <rPr>
        <b/>
        <sz val="9"/>
        <rFont val="Rupee Foradian Standard"/>
        <family val="2"/>
      </rPr>
      <t>Rs</t>
    </r>
    <r>
      <rPr>
        <b/>
        <sz val="9"/>
        <rFont val="Arial"/>
        <family val="2"/>
      </rPr>
      <t>10.00,000                                              Rs1,25,0,000+30% of Total Income(-)</t>
    </r>
    <r>
      <rPr>
        <b/>
        <sz val="9"/>
        <rFont val="Rupee Foradian Standard"/>
        <family val="2"/>
      </rPr>
      <t>Rs</t>
    </r>
    <r>
      <rPr>
        <b/>
        <sz val="9"/>
        <rFont val="Arial"/>
        <family val="2"/>
      </rPr>
      <t>10,00,000</t>
    </r>
  </si>
  <si>
    <t>*Note- (u/s87A- A rebate upto Rs 2000/-  for assessee with Income range of 2,50,001 to Rs. 5,00,000 )</t>
  </si>
  <si>
    <r>
      <t xml:space="preserve">For SENIOR CITIZEN  ASSESSE (Above 60 Year ) </t>
    </r>
    <r>
      <rPr>
        <b/>
        <sz val="10"/>
        <rFont val="Arial"/>
        <family val="2"/>
      </rPr>
      <t xml:space="preserve">attaining the age during the year </t>
    </r>
  </si>
  <si>
    <t xml:space="preserve">     Net Income Range                                       Income Tax Rates</t>
  </si>
  <si>
    <r>
      <t xml:space="preserve">    Up to </t>
    </r>
    <r>
      <rPr>
        <b/>
        <sz val="9"/>
        <rFont val="Rupee Foradian Standard"/>
        <family val="2"/>
      </rPr>
      <t>Rs 3</t>
    </r>
    <r>
      <rPr>
        <b/>
        <sz val="9"/>
        <rFont val="Arial"/>
        <family val="2"/>
      </rPr>
      <t>,00,000                                                                                     Nil</t>
    </r>
  </si>
  <si>
    <t xml:space="preserve">   Rs3,00,001 to 5,00,000                                             10% of Total Income(-) Rs.3,00,000</t>
  </si>
  <si>
    <r>
      <t xml:space="preserve">    </t>
    </r>
    <r>
      <rPr>
        <b/>
        <sz val="9"/>
        <rFont val="Rupee Foradian Standard"/>
        <family val="2"/>
      </rPr>
      <t>Rs</t>
    </r>
    <r>
      <rPr>
        <b/>
        <sz val="9"/>
        <rFont val="Arial"/>
        <family val="2"/>
      </rPr>
      <t>5,00,001 to 10,00,000                                          Rs20,000+20% of Total Income(-)5,00,000</t>
    </r>
  </si>
  <si>
    <t xml:space="preserve">    More than 10.00,000                                                Rs1,20,000+30% of Total Income(-)10,00,000</t>
  </si>
  <si>
    <t>*Note- (u/s87A- A rebate upto Rs 2000/-  for assessee with Income range of 3,00,001 to Rs. 5,00,000 )</t>
  </si>
  <si>
    <r>
      <rPr>
        <b/>
        <sz val="12"/>
        <rFont val="Arial"/>
        <family val="2"/>
      </rPr>
      <t>For VERY SENIOR CITIZEN  ASSESSE (Above 80 Year )</t>
    </r>
    <r>
      <rPr>
        <b/>
        <sz val="9"/>
        <rFont val="Arial"/>
        <family val="2"/>
      </rPr>
      <t xml:space="preserve"> attaining the age during the year </t>
    </r>
  </si>
  <si>
    <t xml:space="preserve">    Up to Rs.5,00,000                                                                          Nil</t>
  </si>
  <si>
    <r>
      <t xml:space="preserve">    </t>
    </r>
    <r>
      <rPr>
        <b/>
        <sz val="9"/>
        <rFont val="Rupee Foradian Standard"/>
        <family val="2"/>
      </rPr>
      <t>Rs</t>
    </r>
    <r>
      <rPr>
        <b/>
        <sz val="9"/>
        <rFont val="Arial"/>
        <family val="2"/>
      </rPr>
      <t>5,00,001 to 10,00,000                                        20% of Total Income (-) Rs.10,00,000</t>
    </r>
  </si>
  <si>
    <t xml:space="preserve">     More than 10.00,000                                              Rs1,00,000+30% of Total Income(-)10,00,000</t>
  </si>
  <si>
    <t>*Education Cess is  2% &amp; Secondary and Higher education Cess is 1% of income tax from all Assesse.</t>
  </si>
  <si>
    <r>
      <t xml:space="preserve"> </t>
    </r>
    <r>
      <rPr>
        <b/>
        <u val="single"/>
        <sz val="11"/>
        <color indexed="10"/>
        <rFont val="Arial"/>
        <family val="2"/>
      </rPr>
      <t xml:space="preserve">Some  Exempted Receipts /Special allowances &amp;  Perquisite which are not chargable to tax are </t>
    </r>
    <r>
      <rPr>
        <b/>
        <sz val="11"/>
        <color indexed="10"/>
        <rFont val="Arial"/>
        <family val="2"/>
      </rPr>
      <t xml:space="preserve"> </t>
    </r>
  </si>
  <si>
    <r>
      <t xml:space="preserve"> Exempted Receipts - 1.  Medical Reimbursement (Max </t>
    </r>
    <r>
      <rPr>
        <sz val="10"/>
        <rFont val="Rupee Foradian Standard"/>
        <family val="2"/>
      </rPr>
      <t>Rs</t>
    </r>
    <r>
      <rPr>
        <sz val="10"/>
        <color indexed="48"/>
        <rFont val="Arial"/>
        <family val="2"/>
      </rPr>
      <t xml:space="preserve">15000/- Per annum)    2.  L.T.A (as per Rule)                                                            </t>
    </r>
  </si>
  <si>
    <r>
      <rPr>
        <b/>
        <u val="single"/>
        <sz val="10"/>
        <color indexed="10"/>
        <rFont val="Arial"/>
        <family val="2"/>
      </rPr>
      <t xml:space="preserve">Special allowances Exempted </t>
    </r>
    <r>
      <rPr>
        <b/>
        <sz val="10"/>
        <rFont val="Arial"/>
        <family val="2"/>
      </rPr>
      <t xml:space="preserve">u/s 10(14) </t>
    </r>
    <r>
      <rPr>
        <b/>
        <sz val="9"/>
        <rFont val="Arial"/>
        <family val="2"/>
      </rPr>
      <t xml:space="preserve"> </t>
    </r>
    <r>
      <rPr>
        <b/>
        <u val="single"/>
        <sz val="9"/>
        <rFont val="Arial"/>
        <family val="2"/>
      </rPr>
      <t xml:space="preserve">                                                                                                                                                                                                                                                                    </t>
    </r>
    <r>
      <rPr>
        <b/>
        <sz val="9"/>
        <rFont val="Arial"/>
        <family val="2"/>
      </rPr>
      <t>1.</t>
    </r>
    <r>
      <rPr>
        <b/>
        <sz val="9"/>
        <color indexed="48"/>
        <rFont val="Arial"/>
        <family val="2"/>
      </rPr>
      <t xml:space="preserve"> Uniform Allowance </t>
    </r>
    <r>
      <rPr>
        <b/>
        <sz val="9"/>
        <rFont val="Arial"/>
        <family val="2"/>
      </rPr>
      <t xml:space="preserve">(granted to meet the expenditure incurred on purchase or maintenance of uniform to be worn during performance of Official Duty)                                        2 </t>
    </r>
    <r>
      <rPr>
        <b/>
        <sz val="9"/>
        <color indexed="48"/>
        <rFont val="Arial"/>
        <family val="2"/>
      </rPr>
      <t xml:space="preserve">Helper Allowance </t>
    </r>
    <r>
      <rPr>
        <b/>
        <sz val="9"/>
        <rFont val="Arial"/>
        <family val="2"/>
      </rPr>
      <t>( granted to meet exependiture incurred on helper for performance of official duty)                                                                                                                                 3.</t>
    </r>
    <r>
      <rPr>
        <b/>
        <sz val="9"/>
        <color indexed="48"/>
        <rFont val="Arial"/>
        <family val="2"/>
      </rPr>
      <t xml:space="preserve"> Academic Allowance</t>
    </r>
    <r>
      <rPr>
        <b/>
        <sz val="9"/>
        <rFont val="Arial"/>
        <family val="2"/>
      </rPr>
      <t xml:space="preserve"> (granted for encouraging academic, research &amp; training pursuits) including Newspaper, Generals etc.)                                                                                    4. </t>
    </r>
    <r>
      <rPr>
        <b/>
        <sz val="9"/>
        <color indexed="48"/>
        <rFont val="Arial"/>
        <family val="2"/>
      </rPr>
      <t xml:space="preserve">Children Education Allowance </t>
    </r>
    <r>
      <rPr>
        <b/>
        <sz val="9"/>
        <rFont val="Arial"/>
        <family val="2"/>
      </rPr>
      <t xml:space="preserve">( </t>
    </r>
    <r>
      <rPr>
        <b/>
        <sz val="9"/>
        <rFont val="Rupee Foradian Standard"/>
        <family val="2"/>
      </rPr>
      <t>Rs</t>
    </r>
    <r>
      <rPr>
        <b/>
        <sz val="9"/>
        <rFont val="Arial"/>
        <family val="2"/>
      </rPr>
      <t>100 P.M. per Child / (</t>
    </r>
    <r>
      <rPr>
        <b/>
        <sz val="9"/>
        <rFont val="Rupee Foradian Standard"/>
        <family val="2"/>
      </rPr>
      <t>Rs</t>
    </r>
    <r>
      <rPr>
        <b/>
        <sz val="9"/>
        <rFont val="Arial"/>
        <family val="2"/>
      </rPr>
      <t xml:space="preserve">300 for Hostel Expenditure) Max of 2 Children)                                                                                                                            5. </t>
    </r>
    <r>
      <rPr>
        <b/>
        <sz val="9"/>
        <color indexed="48"/>
        <rFont val="Arial"/>
        <family val="2"/>
      </rPr>
      <t>Convayance allowance</t>
    </r>
    <r>
      <rPr>
        <b/>
        <sz val="9"/>
        <rFont val="Arial"/>
        <family val="2"/>
      </rPr>
      <t xml:space="preserve"> ( granted to meet the expenditure incurred on convayance, while performing official duty.                                                                                                                       .   (</t>
    </r>
    <r>
      <rPr>
        <b/>
        <sz val="9"/>
        <color indexed="10"/>
        <rFont val="Arial"/>
        <family val="2"/>
      </rPr>
      <t xml:space="preserve"> </t>
    </r>
    <r>
      <rPr>
        <b/>
        <sz val="9"/>
        <color indexed="17"/>
        <rFont val="Arial"/>
        <family val="2"/>
      </rPr>
      <t>Expenditure incured for covering journey between office and residence is not treated as expenditure in performance of official duty</t>
    </r>
    <r>
      <rPr>
        <b/>
        <sz val="9"/>
        <color indexed="10"/>
        <rFont val="Arial"/>
        <family val="2"/>
      </rPr>
      <t>. )</t>
    </r>
    <r>
      <rPr>
        <b/>
        <sz val="9"/>
        <rFont val="Arial"/>
        <family val="2"/>
      </rPr>
      <t xml:space="preserve"> </t>
    </r>
  </si>
  <si>
    <r>
      <rPr>
        <sz val="10"/>
        <color indexed="10"/>
        <rFont val="Arial"/>
        <family val="2"/>
      </rPr>
      <t xml:space="preserve"> </t>
    </r>
    <r>
      <rPr>
        <b/>
        <sz val="10"/>
        <color indexed="10"/>
        <rFont val="Arial"/>
        <family val="2"/>
      </rPr>
      <t>Deduction available u/s -16</t>
    </r>
    <r>
      <rPr>
        <sz val="10"/>
        <color indexed="10"/>
        <rFont val="Arial"/>
        <family val="2"/>
      </rPr>
      <t xml:space="preserve"> </t>
    </r>
    <r>
      <rPr>
        <sz val="10"/>
        <rFont val="Arial"/>
        <family val="2"/>
      </rPr>
      <t xml:space="preserve">                                                                                                                                                                                                1. </t>
    </r>
    <r>
      <rPr>
        <b/>
        <sz val="10"/>
        <color indexed="48"/>
        <rFont val="Arial"/>
        <family val="2"/>
      </rPr>
      <t>Entertainment allowance</t>
    </r>
    <r>
      <rPr>
        <sz val="10"/>
        <rFont val="Arial"/>
        <family val="2"/>
      </rPr>
      <t xml:space="preserve"> (for Govt Employees) Max  </t>
    </r>
    <r>
      <rPr>
        <sz val="10"/>
        <rFont val="Rupee Foradian Standard"/>
        <family val="2"/>
      </rPr>
      <t>Rs</t>
    </r>
    <r>
      <rPr>
        <sz val="10"/>
        <rFont val="Arial"/>
        <family val="2"/>
      </rPr>
      <t xml:space="preserve">5000/-                                                                                                                                                                             2. </t>
    </r>
    <r>
      <rPr>
        <b/>
        <sz val="10"/>
        <color indexed="48"/>
        <rFont val="Arial"/>
        <family val="2"/>
      </rPr>
      <t>Professional tax</t>
    </r>
    <r>
      <rPr>
        <sz val="10"/>
        <rFont val="Arial"/>
        <family val="2"/>
      </rPr>
      <t xml:space="preserve"> - Professional tax paid by employee is deducted. If employee pays the professional tax on behalf of employee, It is first added in gross salary as taxable perquisite and thereafter deduction isvprovided from gross salary       </t>
    </r>
  </si>
  <si>
    <r>
      <t xml:space="preserve"> </t>
    </r>
    <r>
      <rPr>
        <b/>
        <u val="single"/>
        <sz val="10"/>
        <color indexed="10"/>
        <rFont val="Arial"/>
        <family val="2"/>
      </rPr>
      <t>Perquisite not chargable to tax</t>
    </r>
  </si>
  <si>
    <r>
      <t xml:space="preserve"> </t>
    </r>
    <r>
      <rPr>
        <b/>
        <sz val="9"/>
        <color indexed="48"/>
        <rFont val="Arial"/>
        <family val="2"/>
      </rPr>
      <t>Free food and beverage</t>
    </r>
    <r>
      <rPr>
        <b/>
        <sz val="9"/>
        <rFont val="Arial"/>
        <family val="2"/>
      </rPr>
      <t xml:space="preserve"> ( 1. Food and non-alcoholic beverages provided in working hours in remote area or an offshore instalation are exempted to tax                         2. Tea, coffee or non-alcoholic beverages and snaks in working hours are tax free perquisites.                                                                                                                                                                                                                                                            3. Meals (Lunch and / or dinner) in office hours is not taxable. If cost to the employeris  </t>
    </r>
    <r>
      <rPr>
        <b/>
        <sz val="9"/>
        <rFont val="Rupee Foradian Standard"/>
        <family val="2"/>
      </rPr>
      <t>₹</t>
    </r>
    <r>
      <rPr>
        <b/>
        <sz val="9"/>
        <rFont val="Arial"/>
        <family val="2"/>
      </rPr>
      <t xml:space="preserve">50 ( or Less) per meal.  </t>
    </r>
  </si>
  <si>
    <r>
      <t xml:space="preserve"> </t>
    </r>
    <r>
      <rPr>
        <b/>
        <u val="single"/>
        <sz val="9"/>
        <color indexed="10"/>
        <rFont val="Arial"/>
        <family val="2"/>
      </rPr>
      <t>Some Exempted Income are</t>
    </r>
    <r>
      <rPr>
        <b/>
        <sz val="9"/>
        <color indexed="10"/>
        <rFont val="Arial"/>
        <family val="2"/>
      </rPr>
      <t xml:space="preserve"> ( to be shown while Return filing) </t>
    </r>
  </si>
  <si>
    <t xml:space="preserve">         1.  Withdrawal / Maturity received from PF,PPF,Insurance Co., Agriculture. (Max up to 5000/- )</t>
  </si>
  <si>
    <t xml:space="preserve">         2    Long Term Capital Gain From Shares</t>
  </si>
  <si>
    <t xml:space="preserve">         3    Dividend on shares in companies</t>
  </si>
  <si>
    <t xml:space="preserve">         4.    Interest on Saving Bank &amp; Post Office A/c up to  Rs10,000/- ( Sec-80TTE)</t>
  </si>
  <si>
    <r>
      <rPr>
        <b/>
        <u val="single"/>
        <sz val="9"/>
        <color indexed="10"/>
        <rFont val="Arial"/>
        <family val="2"/>
      </rPr>
      <t>Please Note</t>
    </r>
    <r>
      <rPr>
        <b/>
        <u val="single"/>
        <sz val="9"/>
        <rFont val="Arial"/>
        <family val="2"/>
      </rPr>
      <t xml:space="preserve"> :</t>
    </r>
  </si>
  <si>
    <r>
      <t xml:space="preserve">(i) Interest earned from all sources is to be included. All interest (including saving Bank A/C (above </t>
    </r>
    <r>
      <rPr>
        <b/>
        <sz val="9"/>
        <rFont val="Rupee Foradian Standard"/>
        <family val="2"/>
      </rPr>
      <t>Rs</t>
    </r>
    <r>
      <rPr>
        <b/>
        <sz val="9"/>
        <rFont val="Arial"/>
        <family val="2"/>
      </rPr>
      <t>10,000) (FD) income is fully taxable.</t>
    </r>
  </si>
  <si>
    <t xml:space="preserve">(II) 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
  </si>
  <si>
    <t>T A X   R U L E S  &amp;  O T H E R   U S E F U L   I N F O R M A T I O N S for</t>
  </si>
  <si>
    <r>
      <t xml:space="preserve"> HRA exemption</t>
    </r>
    <r>
      <rPr>
        <sz val="9"/>
        <rFont val="Arial"/>
        <family val="2"/>
      </rPr>
      <t xml:space="preserve"> = Least of (40% </t>
    </r>
    <r>
      <rPr>
        <sz val="9"/>
        <color indexed="57"/>
        <rFont val="Arial"/>
        <family val="2"/>
      </rPr>
      <t>(50% for metros)</t>
    </r>
    <r>
      <rPr>
        <sz val="9"/>
        <rFont val="Arial"/>
        <family val="2"/>
      </rPr>
      <t xml:space="preserve"> of Basic+DA </t>
    </r>
    <r>
      <rPr>
        <sz val="9"/>
        <color indexed="12"/>
        <rFont val="Arial"/>
        <family val="2"/>
      </rPr>
      <t>or</t>
    </r>
    <r>
      <rPr>
        <sz val="9"/>
        <rFont val="Arial"/>
        <family val="2"/>
      </rPr>
      <t xml:space="preserve"> HRA </t>
    </r>
    <r>
      <rPr>
        <sz val="9"/>
        <color indexed="12"/>
        <rFont val="Arial"/>
        <family val="2"/>
      </rPr>
      <t>or</t>
    </r>
    <r>
      <rPr>
        <sz val="9"/>
        <rFont val="Arial"/>
        <family val="2"/>
      </rPr>
      <t xml:space="preserve"> rent paid - 10% of Basic+DA)</t>
    </r>
  </si>
  <si>
    <r>
      <t>Transport allowance</t>
    </r>
    <r>
      <rPr>
        <sz val="9"/>
        <rFont val="Arial"/>
        <family val="2"/>
      </rPr>
      <t xml:space="preserve"> is exempt up to Rs.800/- per month during the month. ( </t>
    </r>
    <r>
      <rPr>
        <sz val="9"/>
        <color indexed="10"/>
        <rFont val="Arial"/>
        <family val="2"/>
      </rPr>
      <t xml:space="preserve">Expenditure incured for covering journey between office and residence </t>
    </r>
    <r>
      <rPr>
        <sz val="9"/>
        <rFont val="Arial"/>
        <family val="2"/>
      </rPr>
      <t xml:space="preserve">.)                                                                                                                                                                                                                                                                                                                               For people having permanent physical disability, the exemption is </t>
    </r>
    <r>
      <rPr>
        <sz val="9"/>
        <rFont val="Arial"/>
        <family val="2"/>
      </rPr>
      <t>1,600/- per month</t>
    </r>
  </si>
  <si>
    <r>
      <rPr>
        <b/>
        <sz val="9"/>
        <color indexed="10"/>
        <rFont val="Arial"/>
        <family val="2"/>
      </rPr>
      <t xml:space="preserve">Reimbursement of </t>
    </r>
    <r>
      <rPr>
        <b/>
        <sz val="9"/>
        <color indexed="12"/>
        <rFont val="Arial"/>
        <family val="2"/>
      </rPr>
      <t>Medical bills</t>
    </r>
    <r>
      <rPr>
        <sz val="9"/>
        <rFont val="Arial"/>
        <family val="2"/>
      </rPr>
      <t xml:space="preserve"> are exempt for self and dependent family, up to Rs.15,000/- per annum</t>
    </r>
  </si>
  <si>
    <r>
      <t xml:space="preserve"> u/s(5) LTA is exempt</t>
    </r>
    <r>
      <rPr>
        <sz val="9"/>
        <rFont val="Arial"/>
        <family val="2"/>
      </rPr>
      <t xml:space="preserve"> to the tune of economy class Train/ Air /Recognised public Transport fare for the family to any destination in India, by the shortest route.                      LTA can be claimed twice in a block of 4 calendar years. The current block is from 01.01.2010 to 31.12.2013. For claim, it is must to provide originals tickets etc.</t>
    </r>
  </si>
  <si>
    <t xml:space="preserve"> IV(a)</t>
  </si>
  <si>
    <r>
      <t>u/s 24</t>
    </r>
    <r>
      <rPr>
        <sz val="9"/>
        <rFont val="Arial"/>
        <family val="2"/>
      </rPr>
      <t xml:space="preserve"> There is an</t>
    </r>
    <r>
      <rPr>
        <b/>
        <sz val="9"/>
        <rFont val="Arial"/>
        <family val="2"/>
      </rPr>
      <t xml:space="preserve"> </t>
    </r>
    <r>
      <rPr>
        <b/>
        <sz val="9"/>
        <color indexed="12"/>
        <rFont val="Arial"/>
        <family val="2"/>
      </rPr>
      <t>Exemption for interest on housing loan</t>
    </r>
    <r>
      <rPr>
        <sz val="9"/>
        <rFont val="Arial"/>
        <family val="2"/>
      </rPr>
      <t xml:space="preserve">.(for Self occupied Residence). If the loan was taken before Apr 1, 1999 exemption is limited to </t>
    </r>
    <r>
      <rPr>
        <sz val="9"/>
        <rFont val="Rupee Foradian Standard"/>
        <family val="2"/>
      </rPr>
      <t>Rs</t>
    </r>
    <r>
      <rPr>
        <sz val="9"/>
        <rFont val="Arial"/>
        <family val="2"/>
      </rPr>
      <t xml:space="preserve">30,000/- per year. If the loan was taken after Apr 1, 1999 exemption is limited toRs2,00,000/- per year if the house is self-occupied; There is no limit if the house is rented out
This exemption is available on accrual basis, which means if interest has accrued, you can claim exemption, irrespective of whether you've paid it or not..                            </t>
    </r>
  </si>
  <si>
    <t xml:space="preserve">      (b)</t>
  </si>
  <si>
    <r>
      <t>If you have rented out your house</t>
    </r>
    <r>
      <rPr>
        <sz val="9"/>
        <rFont val="Arial"/>
        <family val="2"/>
      </rPr>
      <t>, enter the total income / loss from the house (after deducting property tax and standard maintenance expenses).</t>
    </r>
  </si>
  <si>
    <r>
      <rPr>
        <b/>
        <u val="single"/>
        <sz val="9"/>
        <color indexed="12"/>
        <rFont val="Arial"/>
        <family val="2"/>
      </rPr>
      <t>u/s 80CCE- Maximum Exemption up to  Rs.150000/-</t>
    </r>
    <r>
      <rPr>
        <b/>
        <sz val="9"/>
        <color indexed="12"/>
        <rFont val="Arial"/>
        <family val="2"/>
      </rPr>
      <t xml:space="preserve">  I</t>
    </r>
    <r>
      <rPr>
        <sz val="9"/>
        <rFont val="Arial"/>
        <family val="2"/>
      </rPr>
      <t xml:space="preserve">nvestments up to Rs.1.5 lac in PF, VPF, PPF, Employee contribution in NPS,Insurance Premium, Housing loan principal repayment, NSC, ELSS, long term bank Fixed Deposit, Post Office Term Deposit, etc. are deductible from the taxable income. There is no limit on individual items, (for example) all 1 lac can be invested in NSC or PPF etc. </t>
    </r>
    <r>
      <rPr>
        <sz val="9"/>
        <color indexed="10"/>
        <rFont val="Arial"/>
        <family val="2"/>
      </rPr>
      <t xml:space="preserve"> </t>
    </r>
  </si>
  <si>
    <r>
      <rPr>
        <b/>
        <u val="single"/>
        <sz val="10"/>
        <color indexed="12"/>
        <rFont val="Arial"/>
        <family val="2"/>
      </rPr>
      <t>u/s 80CCD</t>
    </r>
    <r>
      <rPr>
        <sz val="9"/>
        <color indexed="12"/>
        <rFont val="Arial"/>
        <family val="2"/>
      </rPr>
      <t xml:space="preserve"> </t>
    </r>
    <r>
      <rPr>
        <sz val="9"/>
        <rFont val="Arial"/>
        <family val="2"/>
      </rPr>
      <t xml:space="preserve">-The Finance Act, 2011 provides that contribution made by the Central Government or any other employer to NPS (up to 10 per cent of the salary of the employee in the previous year)shall be excluded while computing the limit of </t>
    </r>
    <r>
      <rPr>
        <sz val="9"/>
        <rFont val="Rupee Foradian Standard"/>
        <family val="2"/>
      </rPr>
      <t>Rs</t>
    </r>
    <r>
      <rPr>
        <sz val="9"/>
        <rFont val="Arial"/>
        <family val="2"/>
      </rPr>
      <t xml:space="preserve">1,50,000.The contribution by the employee to the NPS will be subject to the limit of </t>
    </r>
    <r>
      <rPr>
        <sz val="9"/>
        <rFont val="Rupee Foradian Standard"/>
        <family val="2"/>
      </rPr>
      <t>Rs</t>
    </r>
    <r>
      <rPr>
        <sz val="9"/>
        <rFont val="Arial"/>
        <family val="2"/>
      </rPr>
      <t xml:space="preserve">1,00,000.
</t>
    </r>
  </si>
  <si>
    <r>
      <rPr>
        <b/>
        <u val="single"/>
        <sz val="9"/>
        <color indexed="12"/>
        <rFont val="Arial"/>
        <family val="2"/>
      </rPr>
      <t>u/s 80CCG - Rajiv Gandhi Equity Savings Scheme</t>
    </r>
    <r>
      <rPr>
        <sz val="9"/>
        <rFont val="Arial"/>
        <family val="2"/>
      </rPr>
      <t xml:space="preserve"> is a new exemption available for investment in stock markets (direct equity). Avaialble only for those with gross income less than 12 lacs and only for first time investors in stock market. Exemption available at 50% ( Rs.25,000/)of investment subject to maximum of </t>
    </r>
    <r>
      <rPr>
        <sz val="9"/>
        <rFont val="Rupee Foradian Standard"/>
        <family val="2"/>
      </rPr>
      <t>Rs</t>
    </r>
    <r>
      <rPr>
        <sz val="9"/>
        <rFont val="Arial"/>
        <family val="2"/>
      </rPr>
      <t>.50,000/- invested. Investments are locked-in for three years</t>
    </r>
  </si>
  <si>
    <r>
      <t>u/s 80D</t>
    </r>
    <r>
      <rPr>
        <sz val="9"/>
        <rFont val="Arial"/>
        <family val="2"/>
      </rPr>
      <t xml:space="preserve"> Medical Insurance Premium (such as Mediclaim &amp; Critical illness Cover)&amp; Health Check up Upto </t>
    </r>
    <r>
      <rPr>
        <sz val="9"/>
        <rFont val="Rupee Foradian Standard"/>
        <family val="2"/>
      </rPr>
      <t>Rs</t>
    </r>
    <r>
      <rPr>
        <sz val="9"/>
        <rFont val="Arial"/>
        <family val="2"/>
      </rPr>
      <t xml:space="preserve">5000,                                                                                                               </t>
    </r>
    <r>
      <rPr>
        <sz val="9"/>
        <color indexed="10"/>
        <rFont val="Arial"/>
        <family val="2"/>
      </rPr>
      <t xml:space="preserve">premium is exempt up to </t>
    </r>
    <r>
      <rPr>
        <sz val="9"/>
        <color indexed="10"/>
        <rFont val="Rupee Foradian Standard"/>
        <family val="2"/>
      </rPr>
      <t>Rs</t>
    </r>
    <r>
      <rPr>
        <sz val="9"/>
        <color indexed="10"/>
        <rFont val="Arial"/>
        <family val="2"/>
      </rPr>
      <t>30,000/ per year</t>
    </r>
    <r>
      <rPr>
        <sz val="9"/>
        <rFont val="Arial"/>
        <family val="2"/>
      </rPr>
      <t xml:space="preserve"> (Rs.</t>
    </r>
    <r>
      <rPr>
        <sz val="9"/>
        <color indexed="57"/>
        <rFont val="Arial"/>
        <family val="2"/>
      </rPr>
      <t>15,000/-</t>
    </r>
    <r>
      <rPr>
        <sz val="9"/>
        <rFont val="Arial"/>
        <family val="2"/>
      </rPr>
      <t xml:space="preserve"> for self,spouse and children ) (Rs15000/- for Parents. If the premium includes for a dependent who is (Senior Citizen) above 60 years of age, </t>
    </r>
    <r>
      <rPr>
        <sz val="9"/>
        <color indexed="57"/>
        <rFont val="Arial"/>
        <family val="2"/>
      </rPr>
      <t xml:space="preserve">an extra </t>
    </r>
    <r>
      <rPr>
        <sz val="9"/>
        <color indexed="57"/>
        <rFont val="Rupee Foradian Standard"/>
        <family val="2"/>
      </rPr>
      <t>Rs</t>
    </r>
    <r>
      <rPr>
        <sz val="9"/>
        <color indexed="57"/>
        <rFont val="Arial"/>
        <family val="2"/>
      </rPr>
      <t>5,000//- can be claimed.</t>
    </r>
  </si>
  <si>
    <r>
      <t>u/s 80DD</t>
    </r>
    <r>
      <rPr>
        <b/>
        <sz val="9"/>
        <color indexed="12"/>
        <rFont val="Arial"/>
        <family val="2"/>
      </rPr>
      <t xml:space="preserve"> Deduction in respect of medical treatment of handicapped dependents</t>
    </r>
    <r>
      <rPr>
        <sz val="9"/>
        <rFont val="Arial"/>
        <family val="2"/>
      </rPr>
      <t xml:space="preserve"> is limited to Rs.50,000/- per year if the disability is less than 80% and </t>
    </r>
    <r>
      <rPr>
        <sz val="9"/>
        <rFont val="Rupee Foradian Standard"/>
        <family val="2"/>
      </rPr>
      <t>Rs</t>
    </r>
    <r>
      <rPr>
        <sz val="9"/>
        <rFont val="Arial"/>
        <family val="2"/>
      </rPr>
      <t>1,00,000/- per year if the disability is more than 80%</t>
    </r>
  </si>
  <si>
    <r>
      <t>u/s 80DDB</t>
    </r>
    <r>
      <rPr>
        <b/>
        <sz val="9"/>
        <color indexed="12"/>
        <rFont val="Arial"/>
        <family val="2"/>
      </rPr>
      <t xml:space="preserve"> Deduction in respect of medical treatment for specified ailments or diseases</t>
    </r>
    <r>
      <rPr>
        <sz val="9"/>
        <rFont val="Arial"/>
        <family val="2"/>
      </rPr>
      <t xml:space="preserve"> for the assesse or dependent can be claimed up to </t>
    </r>
    <r>
      <rPr>
        <sz val="9"/>
        <rFont val="Rupee Foradian Standard"/>
        <family val="2"/>
      </rPr>
      <t>Rs</t>
    </r>
    <r>
      <rPr>
        <sz val="9"/>
        <rFont val="Arial"/>
        <family val="2"/>
      </rPr>
      <t xml:space="preserve">40,000/- per year. If the person being treated is a senior citizen, the exemption can go up toRs60,000/-. </t>
    </r>
    <r>
      <rPr>
        <b/>
        <sz val="9"/>
        <color indexed="10"/>
        <rFont val="Arial"/>
        <family val="2"/>
      </rPr>
      <t>but any amount received under Medical Insurance Policy will be reduced from the</t>
    </r>
    <r>
      <rPr>
        <sz val="9"/>
        <color indexed="10"/>
        <rFont val="Arial"/>
        <family val="2"/>
      </rPr>
      <t xml:space="preserve"> </t>
    </r>
    <r>
      <rPr>
        <b/>
        <sz val="9"/>
        <color indexed="10"/>
        <rFont val="Arial"/>
        <family val="2"/>
      </rPr>
      <t xml:space="preserve">amount of deduction allowed. </t>
    </r>
    <r>
      <rPr>
        <sz val="9"/>
        <rFont val="Arial"/>
        <family val="2"/>
      </rPr>
      <t>The Diseases and ailments specified under rule 11DD are.                                                                                                                                                                                                            (1)neurological diseases being demetia, dystonia musculorum deformans, motor neuron disease, ataxia, chorea, hemiballismus, aphasia and parkisons disease,          (2) cancer, (3) AIDS, (4)Chronic renal failure, (5) hemophilia, and (6) thalassaemia.</t>
    </r>
  </si>
  <si>
    <r>
      <t>u/s 80E</t>
    </r>
    <r>
      <rPr>
        <b/>
        <sz val="9"/>
        <color indexed="12"/>
        <rFont val="Arial"/>
        <family val="2"/>
      </rPr>
      <t xml:space="preserve"> Interest repayment on education loan </t>
    </r>
    <r>
      <rPr>
        <sz val="9"/>
        <rFont val="Arial"/>
        <family val="2"/>
      </rPr>
      <t>(taken for higher education from a university of self &amp; dependents) is completely tax exempt</t>
    </r>
  </si>
  <si>
    <r>
      <t>u/s 80G</t>
    </r>
    <r>
      <rPr>
        <b/>
        <sz val="9"/>
        <color indexed="12"/>
        <rFont val="Arial"/>
        <family val="2"/>
      </rPr>
      <t xml:space="preserve"> Donations given for certain charities</t>
    </r>
    <r>
      <rPr>
        <sz val="9"/>
        <rFont val="Arial"/>
        <family val="2"/>
      </rPr>
      <t xml:space="preserve"> are tax exempt. Some(NGO,Trust etc.) are exempt to the tune of 50%, whereas Govt funds are 100%. </t>
    </r>
  </si>
  <si>
    <r>
      <t>u/s 80GG</t>
    </r>
    <r>
      <rPr>
        <sz val="9"/>
        <rFont val="Arial"/>
        <family val="2"/>
      </rPr>
      <t xml:space="preserve"> If you are not getting  HRA, but living in rented house, an exemption is available. This will be calculated as minimum of (25% of total income </t>
    </r>
    <r>
      <rPr>
        <sz val="9"/>
        <color indexed="12"/>
        <rFont val="Arial"/>
        <family val="2"/>
      </rPr>
      <t>or</t>
    </r>
    <r>
      <rPr>
        <sz val="9"/>
        <rFont val="Arial"/>
        <family val="2"/>
      </rPr>
      <t xml:space="preserve"> rent paid - 10% of total income </t>
    </r>
    <r>
      <rPr>
        <sz val="9"/>
        <color indexed="12"/>
        <rFont val="Arial"/>
        <family val="2"/>
      </rPr>
      <t>or</t>
    </r>
    <r>
      <rPr>
        <sz val="9"/>
        <rFont val="Arial"/>
        <family val="2"/>
      </rPr>
      <t xml:space="preserve"> </t>
    </r>
    <r>
      <rPr>
        <sz val="9"/>
        <rFont val="Rupee Foradian Standard"/>
        <family val="2"/>
      </rPr>
      <t>Rs</t>
    </r>
    <r>
      <rPr>
        <sz val="9"/>
        <rFont val="Arial"/>
        <family val="2"/>
      </rPr>
      <t>24,000/- per year)</t>
    </r>
  </si>
  <si>
    <r>
      <t>u/s 80U</t>
    </r>
    <r>
      <rPr>
        <sz val="9"/>
        <rFont val="Arial"/>
        <family val="2"/>
      </rPr>
      <t xml:space="preserve"> who suffers from not less than 40 per cent of any disability is eligible for deduction to the extent of Rs. 50,000/-                                                                                                  and in case of severe disability to the extent of Rs. 100,000/-</t>
    </r>
  </si>
  <si>
    <t>XV</t>
  </si>
  <si>
    <r>
      <t>u/s 80TTA</t>
    </r>
    <r>
      <rPr>
        <sz val="9"/>
        <color indexed="12"/>
        <rFont val="Arial"/>
        <family val="2"/>
      </rPr>
      <t xml:space="preserve"> </t>
    </r>
    <r>
      <rPr>
        <sz val="9"/>
        <rFont val="Arial"/>
        <family val="2"/>
      </rPr>
      <t>introduced through Finance Act, 2012. Section 80TTA provides a deduction of up to Rs10,000 on your income from interest on saving bank accounts.</t>
    </r>
  </si>
  <si>
    <r>
      <t xml:space="preserve"> </t>
    </r>
    <r>
      <rPr>
        <b/>
        <u val="single"/>
        <sz val="12"/>
        <color indexed="61"/>
        <rFont val="Arial"/>
        <family val="2"/>
      </rPr>
      <t xml:space="preserve">KNOW MORE about DEDUCTION under Section 80-C and chapter VIA </t>
    </r>
  </si>
  <si>
    <r>
      <rPr>
        <b/>
        <u val="single"/>
        <sz val="11"/>
        <color indexed="10"/>
        <rFont val="Arial"/>
        <family val="2"/>
      </rPr>
      <t>Section 80C</t>
    </r>
    <r>
      <rPr>
        <b/>
        <sz val="10"/>
        <rFont val="Arial"/>
        <family val="2"/>
      </rPr>
      <t xml:space="preserve"> </t>
    </r>
    <r>
      <rPr>
        <b/>
        <sz val="10"/>
        <color indexed="12"/>
        <rFont val="Arial"/>
        <family val="2"/>
      </rPr>
      <t>of the Income Tax Act allows certain investments and expenditure to be deduct from total income.</t>
    </r>
    <r>
      <rPr>
        <b/>
        <sz val="10"/>
        <rFont val="Arial"/>
        <family val="2"/>
      </rPr>
      <t xml:space="preserve"> </t>
    </r>
    <r>
      <rPr>
        <sz val="10"/>
        <rFont val="Arial"/>
        <family val="2"/>
      </rPr>
      <t xml:space="preserve">                                                               One must plan investments well and spread it out across the various instruments specified under this section to avail maximum tax benefit. There are no sub-limits and is irrespective of how much you earn and under which tax bracket you fall. Most of the Income Tax payee try to save tax by saving under Section 80C of the Income Tax Act.  However, it is important to know the Section in total. so that one can make best use of the options available for deduction under income tax Act. One important point to note that one can not only save tax by undertaking the specified investments, but some expenditure which you normally incur can also give you the tax exemptions.
</t>
    </r>
  </si>
  <si>
    <t>Qualifying Investments u/s 80CCE are</t>
  </si>
  <si>
    <r>
      <rPr>
        <b/>
        <u val="single"/>
        <sz val="10"/>
        <color indexed="12"/>
        <rFont val="Arial"/>
        <family val="2"/>
      </rPr>
      <t>Provident Fund (PF) &amp; Voluntary Provident Fund</t>
    </r>
    <r>
      <rPr>
        <u val="single"/>
        <sz val="10"/>
        <color indexed="12"/>
        <rFont val="Arial"/>
        <family val="2"/>
      </rPr>
      <t xml:space="preserve"> </t>
    </r>
    <r>
      <rPr>
        <b/>
        <u val="single"/>
        <sz val="10"/>
        <color indexed="12"/>
        <rFont val="Arial"/>
        <family val="2"/>
      </rPr>
      <t>(VPF)</t>
    </r>
    <r>
      <rPr>
        <sz val="10"/>
        <rFont val="Arial"/>
        <family val="2"/>
      </rPr>
      <t xml:space="preserve"> PF is automatically deducted from your salary. your contribution [12% of Basic] (i.e., employee’s contribution) is counted towards section 80C investments. You also have the option to contribute additional amounts through voluntary contributions (VPF). Current rate of interest is 8.5% per annum (p.a.) and is tax-free.
</t>
    </r>
  </si>
  <si>
    <r>
      <rPr>
        <b/>
        <u val="single"/>
        <sz val="10"/>
        <color indexed="12"/>
        <rFont val="Arial"/>
        <family val="2"/>
      </rPr>
      <t>Life Insurance Premiums</t>
    </r>
    <r>
      <rPr>
        <sz val="10"/>
        <rFont val="Arial"/>
        <family val="2"/>
      </rPr>
      <t xml:space="preserve">: Any amount that you pay towards life insurance premium in Life Insurance Corporation (LIC) or any other Insurance CO.for yourself, your spouse or your children can also be included in Section 80C deduction. If you are paying premium for more than one insurance policy, all the premiums will be included. also premium paid for ULIP will also be treated as Premium paid for Life Insurance Policies.                                                                                                                                                                                                                        </t>
    </r>
    <r>
      <rPr>
        <b/>
        <u val="single"/>
        <sz val="10"/>
        <color indexed="12"/>
        <rFont val="Arial"/>
        <family val="2"/>
      </rPr>
      <t>Unit linked Insurance Plan : ULIP</t>
    </r>
    <r>
      <rPr>
        <sz val="10"/>
        <rFont val="Arial"/>
        <family val="2"/>
      </rPr>
      <t xml:space="preserve"> stands for Unit linked Saving Schemes. ULIPs cover Life insurance with benefits of equity investments.They have attracted the attention of investors and tax-savers not only because they help us save tax but they also perform well to give decent returns in the long-term.
</t>
    </r>
    <r>
      <rPr>
        <b/>
        <u val="single"/>
        <sz val="10"/>
        <color indexed="10"/>
        <rFont val="Arial"/>
        <family val="2"/>
      </rPr>
      <t>IMP</t>
    </r>
    <r>
      <rPr>
        <sz val="10"/>
        <rFont val="Arial"/>
        <family val="2"/>
      </rPr>
      <t xml:space="preserve"> : Total Amount Received at Maturity, Survival Benefits, , Withdrawl in Insurance Policies is Tax Free and fully exempteed u/s 10(10D).</t>
    </r>
  </si>
  <si>
    <r>
      <rPr>
        <b/>
        <u val="single"/>
        <sz val="10"/>
        <color indexed="12"/>
        <rFont val="Arial"/>
        <family val="2"/>
      </rPr>
      <t>Public Provident Fund</t>
    </r>
    <r>
      <rPr>
        <b/>
        <u val="single"/>
        <sz val="10"/>
        <rFont val="Arial"/>
        <family val="2"/>
      </rPr>
      <t xml:space="preserve"> </t>
    </r>
    <r>
      <rPr>
        <b/>
        <sz val="10"/>
        <rFont val="Arial"/>
        <family val="2"/>
      </rPr>
      <t>(PPF)</t>
    </r>
    <r>
      <rPr>
        <sz val="10"/>
        <rFont val="Arial"/>
        <family val="2"/>
      </rPr>
      <t>: Among all the assured returns small saving schemes, Public Provident Fund (PPF) is one of the best. Current rate of interest is 8% tax-free and the normal maturity period is 15 years. Minimum amount of contribution is Rs500</t>
    </r>
    <r>
      <rPr>
        <sz val="10"/>
        <color indexed="10"/>
        <rFont val="Arial"/>
        <family val="2"/>
      </rPr>
      <t xml:space="preserve"> and maximum is </t>
    </r>
    <r>
      <rPr>
        <sz val="10"/>
        <color indexed="10"/>
        <rFont val="Rupee Foradian Standard"/>
        <family val="2"/>
      </rPr>
      <t>Rs1,50</t>
    </r>
    <r>
      <rPr>
        <sz val="10"/>
        <color indexed="10"/>
        <rFont val="Arial"/>
        <family val="2"/>
      </rPr>
      <t>,000</t>
    </r>
    <r>
      <rPr>
        <sz val="10"/>
        <rFont val="Arial"/>
        <family val="2"/>
      </rPr>
      <t xml:space="preserve">.(New Change) from Budget 2014
</t>
    </r>
  </si>
  <si>
    <r>
      <rPr>
        <b/>
        <u val="single"/>
        <sz val="10"/>
        <color indexed="12"/>
        <rFont val="Arial"/>
        <family val="2"/>
      </rPr>
      <t>National Savings Certificat</t>
    </r>
    <r>
      <rPr>
        <sz val="10"/>
        <color indexed="12"/>
        <rFont val="Arial"/>
        <family val="2"/>
      </rPr>
      <t>e</t>
    </r>
    <r>
      <rPr>
        <sz val="10"/>
        <rFont val="Arial"/>
        <family val="2"/>
      </rPr>
      <t xml:space="preserve"> </t>
    </r>
    <r>
      <rPr>
        <b/>
        <sz val="10"/>
        <rFont val="Arial"/>
        <family val="2"/>
      </rPr>
      <t>(NSC):</t>
    </r>
    <r>
      <rPr>
        <sz val="10"/>
        <rFont val="Arial"/>
        <family val="2"/>
      </rPr>
      <t xml:space="preserve"> National Savings Certificate (NSC) is a 5-Yr small savings instrument eligible for section 80C tax benefit. Rate of interest is  8.58% compounded half-yearly, i.e. If you invest Rs.100, it becomes Rs.150.90 after five years. The interest accrued every year is liable to tax (i.e. to be included in your taxable income) but the interest is also deemed to be reinvested and thus eligible for section 80C deduction.</t>
    </r>
  </si>
  <si>
    <r>
      <rPr>
        <b/>
        <u val="single"/>
        <sz val="10"/>
        <color indexed="12"/>
        <rFont val="Arial"/>
        <family val="2"/>
      </rPr>
      <t>Home Loan Principal Repayment &amp; Stamp Duty and Registration Charges for a home Loan</t>
    </r>
    <r>
      <rPr>
        <sz val="10"/>
        <rFont val="Arial"/>
        <family val="2"/>
      </rPr>
      <t xml:space="preserve"> The Equated Monthly Installment (EMI) that you pay every month to repay your home loan consists of two components – </t>
    </r>
    <r>
      <rPr>
        <b/>
        <sz val="10"/>
        <rFont val="Arial"/>
        <family val="2"/>
      </rPr>
      <t>Principal</t>
    </r>
    <r>
      <rPr>
        <sz val="10"/>
        <rFont val="Arial"/>
        <family val="2"/>
      </rPr>
      <t xml:space="preserve"> and</t>
    </r>
    <r>
      <rPr>
        <b/>
        <sz val="10"/>
        <rFont val="Arial"/>
        <family val="2"/>
      </rPr>
      <t xml:space="preserve"> Interest</t>
    </r>
    <r>
      <rPr>
        <sz val="10"/>
        <rFont val="Arial"/>
        <family val="2"/>
      </rPr>
      <t xml:space="preserve">.The principal component of the EMI qualifies for deduction under Sec 80C. Even the interest component can save you significant income tax – but that would be under Section 24 of the Income Tax Act. The amount you pay as stamp duty when you buy a house, and the amount you pay for the registration of the documents of the house can be claimed as deduction under section 80C in the year of purchase of the house.
</t>
    </r>
  </si>
  <si>
    <r>
      <rPr>
        <b/>
        <u val="single"/>
        <sz val="10"/>
        <color indexed="12"/>
        <rFont val="Arial"/>
        <family val="2"/>
      </rPr>
      <t>Tuition  fees  for 2 children</t>
    </r>
    <r>
      <rPr>
        <sz val="10"/>
        <rFont val="Arial"/>
        <family val="2"/>
      </rPr>
      <t xml:space="preserve">  Apart form the above major investments expenses for children’s education (Only Tution Fee (for which you need receipts)), can be claimed as deductions under Sec 80C.
</t>
    </r>
  </si>
  <si>
    <r>
      <rPr>
        <b/>
        <u val="single"/>
        <sz val="10"/>
        <color indexed="12"/>
        <rFont val="Arial"/>
        <family val="2"/>
      </rPr>
      <t xml:space="preserve">Equity Linked Savings Scheme </t>
    </r>
    <r>
      <rPr>
        <b/>
        <sz val="10"/>
        <rFont val="Arial"/>
        <family val="2"/>
      </rPr>
      <t>(ELSS)</t>
    </r>
    <r>
      <rPr>
        <sz val="10"/>
        <rFont val="Arial"/>
        <family val="2"/>
      </rPr>
      <t xml:space="preserve">: There are some mutual fund (MF) schemes specially created for offering you tax savings, and these are called Equity Linked Savings Scheme, or ELSS. The investments that you make in ELSS are eligible for deduction under Sec 80C.
</t>
    </r>
  </si>
  <si>
    <r>
      <rPr>
        <b/>
        <u val="single"/>
        <sz val="10"/>
        <color indexed="12"/>
        <rFont val="Arial"/>
        <family val="2"/>
      </rPr>
      <t>5-Yr bank fixed deposits</t>
    </r>
    <r>
      <rPr>
        <sz val="10"/>
        <rFont val="Arial"/>
        <family val="2"/>
      </rPr>
      <t xml:space="preserve"> </t>
    </r>
    <r>
      <rPr>
        <b/>
        <sz val="10"/>
        <rFont val="Arial"/>
        <family val="2"/>
      </rPr>
      <t>(FDs)</t>
    </r>
    <r>
      <rPr>
        <sz val="10"/>
        <rFont val="Arial"/>
        <family val="2"/>
      </rPr>
      <t xml:space="preserve">: Tax-saving fixed deposits (FDs) of scheduled banks with tenure of 5 years are also entitled for section 80C deduction.              </t>
    </r>
    <r>
      <rPr>
        <b/>
        <u val="single"/>
        <sz val="10"/>
        <color indexed="12"/>
        <rFont val="Arial"/>
        <family val="2"/>
      </rPr>
      <t>5-Yr post office time deposit</t>
    </r>
    <r>
      <rPr>
        <sz val="10"/>
        <rFont val="Arial"/>
        <family val="2"/>
      </rPr>
      <t xml:space="preserve"> </t>
    </r>
    <r>
      <rPr>
        <b/>
        <sz val="10"/>
        <rFont val="Arial"/>
        <family val="2"/>
      </rPr>
      <t>(POTD)</t>
    </r>
    <r>
      <rPr>
        <sz val="10"/>
        <rFont val="Arial"/>
        <family val="2"/>
      </rPr>
      <t xml:space="preserve"> scheme: POTDs are similar to bank fixed deposits. Although available for varying time duration like one year, two year, three year and five year, only 5-Yr post-office time deposit (POTD) – which currently offers 7.5 per cent rate of interest –qualifies for tax saving under section 80C. Effective rate works out to be 7.71% per annum (p.a.) as the rate of interest is compounded quarterly but paid annually. The Interest is entirely taxable.
</t>
    </r>
  </si>
  <si>
    <r>
      <rPr>
        <b/>
        <u val="single"/>
        <sz val="10"/>
        <color indexed="12"/>
        <rFont val="Arial"/>
        <family val="2"/>
      </rPr>
      <t xml:space="preserve">Pension Funds or Pension Policies </t>
    </r>
    <r>
      <rPr>
        <sz val="10"/>
        <rFont val="Arial"/>
        <family val="2"/>
      </rPr>
      <t xml:space="preserve">– Section 80CCC: This section – Sec 80CCC – stipulates that an investment in pension funds is eligible for deduction from your income. Section 80CCC investment limit is clubbed with the limit of Section 80C – it means that the total deduction available for 80CCC and 80C is           Rs 1.5 Lakh.This also means that your investment in pension funds upto Rs.1.5 Lakh can be claimed as deduction u/s 80CCC. However, as mentioned earlier, the total deduction u/s 80C and 80CCC can not exceed  Rs.1.5 Lakh.
</t>
    </r>
  </si>
  <si>
    <r>
      <rPr>
        <b/>
        <u val="single"/>
        <sz val="10"/>
        <color indexed="12"/>
        <rFont val="Arial"/>
        <family val="2"/>
      </rPr>
      <t>Infrastructure Bonds</t>
    </r>
    <r>
      <rPr>
        <sz val="10"/>
        <rFont val="Arial"/>
        <family val="2"/>
      </rPr>
      <t xml:space="preserve">: These are also popularly called Infra Bonds. These are issued by infrastructure companies, and not the government. The amount that you invest in these bonds can also be included in Sec 80C deductions.                                                                                                                                                                
</t>
    </r>
    <r>
      <rPr>
        <b/>
        <u val="single"/>
        <sz val="10"/>
        <color indexed="12"/>
        <rFont val="Arial"/>
        <family val="2"/>
      </rPr>
      <t>NABARD rural bonds</t>
    </r>
    <r>
      <rPr>
        <sz val="10"/>
        <rFont val="Arial"/>
        <family val="2"/>
      </rPr>
      <t xml:space="preserve">: There are two types of Bonds issued by NABARD (National Bank for Agriculture and Rural Development): NABARD Rural Bonds and Bhavishya Nirman Bonds (BNB). Out of these two, only NABARD Rural Bonds qualify under section 80C.
</t>
    </r>
  </si>
  <si>
    <r>
      <rPr>
        <b/>
        <u val="single"/>
        <sz val="10"/>
        <color indexed="12"/>
        <rFont val="Arial"/>
        <family val="2"/>
      </rPr>
      <t>Senior Citizen Savings Scheme 2004</t>
    </r>
    <r>
      <rPr>
        <sz val="10"/>
        <rFont val="Arial"/>
        <family val="2"/>
      </rPr>
      <t xml:space="preserve"> </t>
    </r>
    <r>
      <rPr>
        <b/>
        <sz val="10"/>
        <rFont val="Arial"/>
        <family val="2"/>
      </rPr>
      <t>(SCSS)</t>
    </r>
    <r>
      <rPr>
        <sz val="10"/>
        <rFont val="Arial"/>
        <family val="2"/>
      </rPr>
      <t xml:space="preserve">: A recent addition to section 80C list, Senior Citizen Savings Scheme (SCSS) is the most lucrative scheme among all the small savings schemes but is meant only for senior citizens. Current rate of interest is 9% per annum payable quarterly. Please note that the interest is payable quarterly instead of compounded quarterly. Thus, unclaimed interest on these deposits won’t earn any further interest. Interest income is chargeable to tax.
</t>
    </r>
  </si>
  <si>
    <t xml:space="preserve"> Mostly people gives estimated declaration at year starting to minimise their Tax Liabilities but could not save up to last and face heavy burden in last months. Many of us start looking for investment avenues only in February or March, just before the Financial Year is getting over. This is a big mistake! One, you would end up investing your money without putting proper thought to it. And secondly, you would end up losing the interest / appreciation for the whole year. Instead, decide where you want to make the investments, and start investing right from the beginning of the financial year – from April. so it is advisable to save from start on monthly basis through  Bank ECS as a SAP . This way, you would not only make informed decisions, but would also earn the interest for the full year from April to March. 
</t>
  </si>
  <si>
    <t xml:space="preserve"> C A L L   M  E    F O R   P R E S E N T A T I O N   :  B. P. C H O U D A R Y         P h :  9 8 1 1 3 0 2 4 9 7, 9 2 1 1 1 2 5 5 8 7 or M a i l  </t>
  </si>
  <si>
    <t xml:space="preserve">                                                                                                                                                                                                                                  TOP</t>
  </si>
  <si>
    <r>
      <t xml:space="preserve">Basic </t>
    </r>
    <r>
      <rPr>
        <b/>
        <sz val="14"/>
        <color indexed="10"/>
        <rFont val="Times New Roman"/>
        <family val="1"/>
      </rPr>
      <t>Pay</t>
    </r>
    <r>
      <rPr>
        <b/>
        <sz val="11"/>
        <color indexed="8"/>
        <rFont val="Times New Roman"/>
        <family val="1"/>
      </rPr>
      <t xml:space="preserve"> Jan - 14</t>
    </r>
  </si>
  <si>
    <r>
      <t>HRA</t>
    </r>
    <r>
      <rPr>
        <b/>
        <sz val="11"/>
        <color indexed="8"/>
        <rFont val="Times New Roman"/>
        <family val="1"/>
      </rPr>
      <t xml:space="preserve"> on Mar - 14</t>
    </r>
  </si>
  <si>
    <r>
      <t>After Jan-14, Benefits</t>
    </r>
    <r>
      <rPr>
        <b/>
        <sz val="9"/>
        <color indexed="10"/>
        <rFont val="Cambria"/>
        <family val="1"/>
      </rPr>
      <t>( AAS,Promotion etc.)</t>
    </r>
    <r>
      <rPr>
        <b/>
        <sz val="9"/>
        <rFont val="Times New Roman"/>
        <family val="1"/>
      </rPr>
      <t xml:space="preserve"> given below, Select " Date &amp; Month",  ( If Inc. month  Feb-14, also  next select Inc. month Feb-15.)</t>
    </r>
  </si>
  <si>
    <t>www.kurnoolbadi.in</t>
  </si>
  <si>
    <t>DA jan-14 Arrears</t>
  </si>
  <si>
    <t>DA Jul-14 Arrears</t>
  </si>
  <si>
    <r>
      <t xml:space="preserve">Financial year </t>
    </r>
    <r>
      <rPr>
        <b/>
        <sz val="11"/>
        <color indexed="8"/>
        <rFont val="Cambria"/>
        <family val="1"/>
      </rPr>
      <t>2014-15</t>
    </r>
  </si>
  <si>
    <r>
      <t xml:space="preserve">Assessment year </t>
    </r>
    <r>
      <rPr>
        <b/>
        <sz val="12"/>
        <color indexed="58"/>
        <rFont val="Cambria"/>
        <family val="1"/>
      </rPr>
      <t>2015-16</t>
    </r>
  </si>
  <si>
    <t>INCOME TAX CALCULATION  2014-2015</t>
  </si>
  <si>
    <t>Upto-2,50,000</t>
  </si>
  <si>
    <t xml:space="preserve">2,50,001/- to 5,00,000/- 10%     </t>
  </si>
  <si>
    <t>Mar-14 to May-14</t>
  </si>
  <si>
    <t>Jun-14 to Aug-14</t>
  </si>
  <si>
    <t>Sep-14 to Nov-14</t>
  </si>
  <si>
    <t>2015-2016</t>
  </si>
  <si>
    <t>TS</t>
  </si>
  <si>
    <t>Andra Pradesh</t>
  </si>
  <si>
    <t>Telangana</t>
  </si>
  <si>
    <t>Others</t>
  </si>
  <si>
    <t>AP</t>
  </si>
  <si>
    <t>Slab A &amp; B</t>
  </si>
  <si>
    <t>Slab C</t>
  </si>
  <si>
    <t>Health Cards Premium in AP</t>
  </si>
  <si>
    <t>EHF Deduction</t>
  </si>
  <si>
    <r>
      <t xml:space="preserve">Prepared by: C.Ramanjaneyulu,S.A(P.S),ZPHS,Jonnagiri,Kurnool(Dt.).               </t>
    </r>
    <r>
      <rPr>
        <b/>
        <sz val="10"/>
        <color indexed="10"/>
        <rFont val="Times New Roman"/>
        <family val="1"/>
      </rPr>
      <t xml:space="preserve"> </t>
    </r>
    <r>
      <rPr>
        <b/>
        <sz val="14"/>
        <color indexed="10"/>
        <rFont val="Times New Roman"/>
        <family val="1"/>
      </rPr>
      <t>www.kurnoolbadi.in</t>
    </r>
  </si>
  <si>
    <t>80d</t>
  </si>
  <si>
    <t>Employees Health Cards Premium in AP</t>
  </si>
  <si>
    <t>Prepared by: C.Ramanjaneyulu, S.A(P.S), ZPHS, Jonnagiri, Kurnool(Dt.),      www.kurnoolbadi.in</t>
  </si>
  <si>
    <t>Education Cess   1%+ Secondary &amp; Higher Education Cess   2%</t>
  </si>
  <si>
    <t>No. of Months DA Arrears( Jan -14)</t>
  </si>
  <si>
    <t>No. of Months DA Arrears( Jul - 14)</t>
  </si>
  <si>
    <t>New DA included salary bill month - (From Jan-2014)</t>
  </si>
  <si>
    <t>New DA included salary bill month - (From Jul-2014)</t>
  </si>
  <si>
    <r>
      <t>PF</t>
    </r>
    <r>
      <rPr>
        <b/>
        <sz val="10"/>
        <color indexed="8"/>
        <rFont val="Times New Roman"/>
        <family val="1"/>
      </rPr>
      <t xml:space="preserve">  Monthly Deduction on March 14</t>
    </r>
  </si>
  <si>
    <r>
      <t xml:space="preserve">APGLI </t>
    </r>
    <r>
      <rPr>
        <b/>
        <sz val="10"/>
        <color indexed="10"/>
        <rFont val="Times New Roman"/>
        <family val="1"/>
      </rPr>
      <t xml:space="preserve"> </t>
    </r>
    <r>
      <rPr>
        <b/>
        <sz val="10"/>
        <color indexed="8"/>
        <rFont val="Times New Roman"/>
        <family val="1"/>
      </rPr>
      <t xml:space="preserve">Monthly Deduction on </t>
    </r>
    <r>
      <rPr>
        <b/>
        <sz val="11"/>
        <color indexed="8"/>
        <rFont val="Times New Roman"/>
        <family val="1"/>
      </rPr>
      <t>March 14</t>
    </r>
  </si>
  <si>
    <r>
      <t>Select your</t>
    </r>
    <r>
      <rPr>
        <b/>
        <sz val="14"/>
        <color indexed="8"/>
        <rFont val="Times New Roman"/>
        <family val="1"/>
      </rPr>
      <t xml:space="preserve"> </t>
    </r>
    <r>
      <rPr>
        <b/>
        <sz val="14"/>
        <color indexed="10"/>
        <rFont val="Times New Roman"/>
        <family val="1"/>
      </rPr>
      <t>GIS</t>
    </r>
    <r>
      <rPr>
        <b/>
        <sz val="10"/>
        <color indexed="8"/>
        <rFont val="Times New Roman"/>
        <family val="1"/>
      </rPr>
      <t xml:space="preserve"> Amount on Mar 14</t>
    </r>
  </si>
  <si>
    <t>Yes</t>
  </si>
  <si>
    <t>Net Annual value</t>
  </si>
  <si>
    <t>Rent received during the year- (Annual)  = Rs.</t>
  </si>
  <si>
    <t>Muncipal Tax Paid  = Rs.</t>
  </si>
  <si>
    <t>30% of Income as Maintenance  = Rs.</t>
  </si>
  <si>
    <t>Interest paid during the year  = Rs.</t>
  </si>
  <si>
    <t>Education Cess @ 1% + Secondary and Higher Education Cess @ 2%(On Tax at S.No.12)</t>
  </si>
  <si>
    <t>Month of Annual Increment after Jan-14</t>
  </si>
  <si>
    <t>DA Table  Financial year 2014-15</t>
  </si>
  <si>
    <t>PRESIDENT:</t>
  </si>
  <si>
    <t>XXXXXXXX</t>
  </si>
  <si>
    <t>SECRETARY:</t>
  </si>
  <si>
    <t>YYYYYYYYYY</t>
  </si>
  <si>
    <t>D.A Enhancement from</t>
  </si>
  <si>
    <t>Difference</t>
  </si>
  <si>
    <t xml:space="preserve">w.e.f </t>
  </si>
  <si>
    <t>PF/CSS. Credit  Months:-</t>
  </si>
  <si>
    <t xml:space="preserve">Cash From:- </t>
  </si>
  <si>
    <t>Credit to PF</t>
  </si>
  <si>
    <t>CPS Holders</t>
  </si>
  <si>
    <t>Credit to CPS</t>
  </si>
  <si>
    <r>
      <t>Visit for update softwares :</t>
    </r>
    <r>
      <rPr>
        <b/>
        <sz val="11"/>
        <color indexed="10"/>
        <rFont val="Calibri"/>
        <family val="2"/>
      </rPr>
      <t xml:space="preserve"> </t>
    </r>
    <r>
      <rPr>
        <b/>
        <sz val="14"/>
        <color indexed="10"/>
        <rFont val="Calibri"/>
        <family val="2"/>
      </rPr>
      <t>www.kurnoolbadi.in</t>
    </r>
  </si>
  <si>
    <r>
      <t xml:space="preserve">Programme prepared by: </t>
    </r>
    <r>
      <rPr>
        <b/>
        <sz val="11"/>
        <color indexed="30"/>
        <rFont val="Comic Sans MS"/>
        <family val="4"/>
      </rPr>
      <t>C.Ramanjaneyulu</t>
    </r>
    <r>
      <rPr>
        <sz val="10"/>
        <rFont val="Arial"/>
        <family val="2"/>
      </rPr>
      <t xml:space="preserve"> ,S.A(P.S),ZPHS,Jonnagiri,Kurnool(Dt.)</t>
    </r>
  </si>
  <si>
    <t>K.Chandra Sekhar Rao</t>
  </si>
  <si>
    <t>Savings U/s 80C ( Limited to Rs.1,50,000 )</t>
  </si>
  <si>
    <t>100% Amount</t>
  </si>
  <si>
    <t>ZP High School</t>
  </si>
  <si>
    <t>ZPHS, Jonnagiri</t>
  </si>
  <si>
    <t>Medical treatment of dependent( 40%)</t>
  </si>
  <si>
    <t>Medical treatment of dependent(80%)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</si>
</sst>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mmm\-yy;@"/>
    <numFmt numFmtId="173" formatCode="0;[Red]0"/>
    <numFmt numFmtId="174" formatCode="_(* #,##0_);_(* \(#,##0\);_(* \-_);_(@_)"/>
    <numFmt numFmtId="175" formatCode="0.000%"/>
    <numFmt numFmtId="176" formatCode="m/d/yy;@"/>
    <numFmt numFmtId="177" formatCode="#,##0;[Red]#,##0"/>
    <numFmt numFmtId="178" formatCode="d\-mmm\-yyyy;@"/>
    <numFmt numFmtId="179" formatCode="[$-409]dddd\,\ mmmm\ dd\,\ yyyy"/>
    <numFmt numFmtId="180" formatCode="[$-409]h:mm:ss\ AM/PM"/>
    <numFmt numFmtId="181" formatCode="[$-409]mmm\-yy;@"/>
    <numFmt numFmtId="182" formatCode="&quot;Rs.&quot;\ #,##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409]dddd\,\ mmmm\ d\,\ yyyy"/>
    <numFmt numFmtId="189" formatCode="[$-F400]h:mm:ss\ AM/PM"/>
    <numFmt numFmtId="190" formatCode="000\-00\-0000"/>
    <numFmt numFmtId="191" formatCode="0.E+00"/>
    <numFmt numFmtId="192" formatCode="&quot;$&quot;#,##0;[Red]&quot;$&quot;#,##0"/>
    <numFmt numFmtId="193" formatCode="#\ ?/10"/>
    <numFmt numFmtId="194" formatCode="0_);[Red]\(0\)"/>
    <numFmt numFmtId="195" formatCode="&quot;$&quot;#,##0.00"/>
    <numFmt numFmtId="196" formatCode="0.0"/>
    <numFmt numFmtId="197" formatCode="0_)"/>
  </numFmts>
  <fonts count="228">
    <font>
      <sz val="10"/>
      <name val="Arial"/>
      <family val="2"/>
    </font>
    <font>
      <sz val="11"/>
      <color indexed="8"/>
      <name val="Calibri"/>
      <family val="2"/>
    </font>
    <font>
      <b/>
      <sz val="11"/>
      <color indexed="8"/>
      <name val="Calibri"/>
      <family val="2"/>
    </font>
    <font>
      <b/>
      <sz val="11"/>
      <color indexed="8"/>
      <name val="Times New Roman"/>
      <family val="1"/>
    </font>
    <font>
      <u val="single"/>
      <sz val="10"/>
      <color indexed="12"/>
      <name val="Arial"/>
      <family val="2"/>
    </font>
    <font>
      <b/>
      <sz val="10"/>
      <name val="Times New Roman"/>
      <family val="1"/>
    </font>
    <font>
      <b/>
      <sz val="8"/>
      <color indexed="8"/>
      <name val="Times New Roman"/>
      <family val="1"/>
    </font>
    <font>
      <sz val="11"/>
      <color indexed="58"/>
      <name val="Times New Roman"/>
      <family val="1"/>
    </font>
    <font>
      <b/>
      <sz val="11"/>
      <color indexed="58"/>
      <name val="Times New Roman"/>
      <family val="1"/>
    </font>
    <font>
      <b/>
      <sz val="10"/>
      <color indexed="58"/>
      <name val="Times New Roman"/>
      <family val="1"/>
    </font>
    <font>
      <sz val="10"/>
      <color indexed="58"/>
      <name val="Times New Roman"/>
      <family val="1"/>
    </font>
    <font>
      <sz val="9"/>
      <color indexed="58"/>
      <name val="Times New Roman"/>
      <family val="1"/>
    </font>
    <font>
      <b/>
      <sz val="9"/>
      <color indexed="58"/>
      <name val="Times New Roman"/>
      <family val="1"/>
    </font>
    <font>
      <sz val="10"/>
      <color indexed="8"/>
      <name val="Calibri"/>
      <family val="2"/>
    </font>
    <font>
      <b/>
      <sz val="10"/>
      <color indexed="8"/>
      <name val="Times New Roman"/>
      <family val="1"/>
    </font>
    <font>
      <sz val="11"/>
      <color indexed="8"/>
      <name val="Times New Roman"/>
      <family val="1"/>
    </font>
    <font>
      <b/>
      <sz val="18"/>
      <name val="Times New Roman"/>
      <family val="1"/>
    </font>
    <font>
      <sz val="12"/>
      <name val="Times New Roman"/>
      <family val="1"/>
    </font>
    <font>
      <sz val="16"/>
      <name val="Times New Roman"/>
      <family val="1"/>
    </font>
    <font>
      <b/>
      <sz val="9"/>
      <name val="Times New Roman"/>
      <family val="1"/>
    </font>
    <font>
      <b/>
      <sz val="9"/>
      <color indexed="8"/>
      <name val="Times New Roman"/>
      <family val="1"/>
    </font>
    <font>
      <b/>
      <sz val="12"/>
      <color indexed="8"/>
      <name val="Times New Roman"/>
      <family val="1"/>
    </font>
    <font>
      <sz val="10"/>
      <color indexed="8"/>
      <name val="Times New Roman"/>
      <family val="1"/>
    </font>
    <font>
      <b/>
      <sz val="11"/>
      <name val="Times New Roman"/>
      <family val="1"/>
    </font>
    <font>
      <sz val="8"/>
      <name val="Times New Roman"/>
      <family val="1"/>
    </font>
    <font>
      <sz val="10"/>
      <name val="Times New Roman"/>
      <family val="1"/>
    </font>
    <font>
      <b/>
      <sz val="12"/>
      <name val="Times New Roman"/>
      <family val="1"/>
    </font>
    <font>
      <sz val="9"/>
      <color indexed="8"/>
      <name val="Times New Roman"/>
      <family val="1"/>
    </font>
    <font>
      <sz val="9"/>
      <name val="Times New Roman"/>
      <family val="1"/>
    </font>
    <font>
      <b/>
      <sz val="8"/>
      <color indexed="10"/>
      <name val="Times New Roman"/>
      <family val="1"/>
    </font>
    <font>
      <sz val="9"/>
      <color indexed="10"/>
      <name val="Times New Roman"/>
      <family val="1"/>
    </font>
    <font>
      <sz val="10"/>
      <color indexed="10"/>
      <name val="Times New Roman"/>
      <family val="1"/>
    </font>
    <font>
      <b/>
      <sz val="14"/>
      <name val="Times New Roman"/>
      <family val="1"/>
    </font>
    <font>
      <sz val="10"/>
      <name val="Book Antiqua"/>
      <family val="1"/>
    </font>
    <font>
      <sz val="10"/>
      <name val="Tahoma"/>
      <family val="2"/>
    </font>
    <font>
      <sz val="14"/>
      <color indexed="8"/>
      <name val="Cambria"/>
      <family val="1"/>
    </font>
    <font>
      <sz val="14"/>
      <name val="Times New Roman"/>
      <family val="1"/>
    </font>
    <font>
      <sz val="12"/>
      <color indexed="8"/>
      <name val="Times New Roman"/>
      <family val="1"/>
    </font>
    <font>
      <b/>
      <sz val="12"/>
      <name val="Arial"/>
      <family val="2"/>
    </font>
    <font>
      <sz val="11"/>
      <name val="Arial"/>
      <family val="2"/>
    </font>
    <font>
      <b/>
      <i/>
      <u val="single"/>
      <sz val="11"/>
      <name val="Arial"/>
      <family val="2"/>
    </font>
    <font>
      <sz val="11"/>
      <name val="Times New Roman"/>
      <family val="1"/>
    </font>
    <font>
      <b/>
      <sz val="13"/>
      <color indexed="58"/>
      <name val="Times New Roman"/>
      <family val="1"/>
    </font>
    <font>
      <b/>
      <sz val="14"/>
      <color indexed="56"/>
      <name val="Times New Roman"/>
      <family val="1"/>
    </font>
    <font>
      <b/>
      <sz val="16"/>
      <name val="Times New Roman"/>
      <family val="1"/>
    </font>
    <font>
      <b/>
      <sz val="14"/>
      <color indexed="8"/>
      <name val="Times New Roman"/>
      <family val="1"/>
    </font>
    <font>
      <b/>
      <sz val="11"/>
      <color indexed="10"/>
      <name val="Times New Roman"/>
      <family val="1"/>
    </font>
    <font>
      <b/>
      <sz val="14"/>
      <color indexed="10"/>
      <name val="Times New Roman"/>
      <family val="1"/>
    </font>
    <font>
      <b/>
      <sz val="12"/>
      <color indexed="10"/>
      <name val="Times New Roman"/>
      <family val="1"/>
    </font>
    <font>
      <b/>
      <sz val="10"/>
      <color indexed="10"/>
      <name val="Times New Roman"/>
      <family val="1"/>
    </font>
    <font>
      <b/>
      <sz val="9.5"/>
      <color indexed="8"/>
      <name val="Times New Roman"/>
      <family val="1"/>
    </font>
    <font>
      <b/>
      <sz val="13"/>
      <color indexed="8"/>
      <name val="Times New Roman"/>
      <family val="1"/>
    </font>
    <font>
      <sz val="8"/>
      <color indexed="8"/>
      <name val="Times New Roman"/>
      <family val="1"/>
    </font>
    <font>
      <b/>
      <sz val="11"/>
      <color indexed="61"/>
      <name val="Times New Roman"/>
      <family val="1"/>
    </font>
    <font>
      <b/>
      <sz val="16"/>
      <color indexed="10"/>
      <name val="Times New Roman"/>
      <family val="1"/>
    </font>
    <font>
      <b/>
      <sz val="9"/>
      <color indexed="10"/>
      <name val="Cambria"/>
      <family val="1"/>
    </font>
    <font>
      <b/>
      <sz val="9"/>
      <color indexed="10"/>
      <name val="Times New Roman"/>
      <family val="1"/>
    </font>
    <font>
      <sz val="10"/>
      <color indexed="58"/>
      <name val="Arial"/>
      <family val="2"/>
    </font>
    <font>
      <sz val="11"/>
      <color indexed="8"/>
      <name val="Cambria"/>
      <family val="1"/>
    </font>
    <font>
      <sz val="12"/>
      <color indexed="58"/>
      <name val="Cambria"/>
      <family val="1"/>
    </font>
    <font>
      <b/>
      <sz val="11"/>
      <color indexed="8"/>
      <name val="Cambria"/>
      <family val="1"/>
    </font>
    <font>
      <b/>
      <sz val="12"/>
      <color indexed="58"/>
      <name val="Cambria"/>
      <family val="1"/>
    </font>
    <font>
      <b/>
      <sz val="10.5"/>
      <name val="Times New Roman"/>
      <family val="1"/>
    </font>
    <font>
      <sz val="9"/>
      <name val="Book Antiqua"/>
      <family val="1"/>
    </font>
    <font>
      <b/>
      <sz val="8"/>
      <name val="Times New Roman"/>
      <family val="1"/>
    </font>
    <font>
      <b/>
      <sz val="10"/>
      <color indexed="58"/>
      <name val="Arial"/>
      <family val="2"/>
    </font>
    <font>
      <b/>
      <sz val="10"/>
      <color indexed="8"/>
      <name val="Arial"/>
      <family val="2"/>
    </font>
    <font>
      <b/>
      <sz val="9"/>
      <color indexed="58"/>
      <name val="Arial"/>
      <family val="2"/>
    </font>
    <font>
      <b/>
      <sz val="9"/>
      <color indexed="8"/>
      <name val="Arial"/>
      <family val="2"/>
    </font>
    <font>
      <b/>
      <sz val="9"/>
      <name val="Arial"/>
      <family val="2"/>
    </font>
    <font>
      <b/>
      <sz val="10"/>
      <name val="Arial"/>
      <family val="2"/>
    </font>
    <font>
      <sz val="10"/>
      <color indexed="8"/>
      <name val="Arial"/>
      <family val="2"/>
    </font>
    <font>
      <b/>
      <sz val="12"/>
      <name val="Cambria"/>
      <family val="1"/>
    </font>
    <font>
      <sz val="10"/>
      <name val="Calibri"/>
      <family val="2"/>
    </font>
    <font>
      <sz val="9"/>
      <name val="Tahoma"/>
      <family val="0"/>
    </font>
    <font>
      <b/>
      <sz val="9"/>
      <name val="Tahoma"/>
      <family val="0"/>
    </font>
    <font>
      <b/>
      <sz val="12"/>
      <color indexed="12"/>
      <name val="Tahoma"/>
      <family val="2"/>
    </font>
    <font>
      <b/>
      <sz val="22"/>
      <color indexed="12"/>
      <name val="Arial"/>
      <family val="2"/>
    </font>
    <font>
      <b/>
      <sz val="12"/>
      <color indexed="12"/>
      <name val="Arial"/>
      <family val="2"/>
    </font>
    <font>
      <sz val="10"/>
      <color indexed="12"/>
      <name val="Arial"/>
      <family val="2"/>
    </font>
    <font>
      <sz val="10"/>
      <color indexed="15"/>
      <name val="Arial"/>
      <family val="2"/>
    </font>
    <font>
      <sz val="14"/>
      <name val="Cambria"/>
      <family val="1"/>
    </font>
    <font>
      <b/>
      <sz val="14"/>
      <name val="Cambria"/>
      <family val="1"/>
    </font>
    <font>
      <sz val="9"/>
      <name val="Arial"/>
      <family val="2"/>
    </font>
    <font>
      <b/>
      <sz val="14"/>
      <color indexed="10"/>
      <name val="Cambria"/>
      <family val="1"/>
    </font>
    <font>
      <b/>
      <sz val="14"/>
      <color indexed="17"/>
      <name val="Cambria"/>
      <family val="1"/>
    </font>
    <font>
      <b/>
      <sz val="9"/>
      <name val="Cambria"/>
      <family val="1"/>
    </font>
    <font>
      <b/>
      <sz val="9"/>
      <name val="Rupee Foradian Standard"/>
      <family val="2"/>
    </font>
    <font>
      <b/>
      <sz val="9"/>
      <color indexed="12"/>
      <name val="Arial"/>
      <family val="2"/>
    </font>
    <font>
      <b/>
      <u val="single"/>
      <sz val="11"/>
      <color indexed="10"/>
      <name val="Arial"/>
      <family val="2"/>
    </font>
    <font>
      <b/>
      <sz val="11"/>
      <color indexed="10"/>
      <name val="Arial"/>
      <family val="2"/>
    </font>
    <font>
      <sz val="10"/>
      <name val="Rupee Foradian Standard"/>
      <family val="2"/>
    </font>
    <font>
      <sz val="10"/>
      <color indexed="48"/>
      <name val="Arial"/>
      <family val="2"/>
    </font>
    <font>
      <b/>
      <u val="single"/>
      <sz val="9"/>
      <name val="Arial"/>
      <family val="2"/>
    </font>
    <font>
      <b/>
      <u val="single"/>
      <sz val="10"/>
      <color indexed="10"/>
      <name val="Arial"/>
      <family val="2"/>
    </font>
    <font>
      <b/>
      <sz val="9"/>
      <color indexed="48"/>
      <name val="Arial"/>
      <family val="2"/>
    </font>
    <font>
      <b/>
      <sz val="9"/>
      <color indexed="10"/>
      <name val="Arial"/>
      <family val="2"/>
    </font>
    <font>
      <b/>
      <sz val="9"/>
      <color indexed="17"/>
      <name val="Arial"/>
      <family val="2"/>
    </font>
    <font>
      <sz val="10"/>
      <color indexed="10"/>
      <name val="Arial"/>
      <family val="2"/>
    </font>
    <font>
      <b/>
      <sz val="10"/>
      <color indexed="10"/>
      <name val="Arial"/>
      <family val="2"/>
    </font>
    <font>
      <b/>
      <sz val="10"/>
      <color indexed="48"/>
      <name val="Arial"/>
      <family val="2"/>
    </font>
    <font>
      <b/>
      <u val="single"/>
      <sz val="9"/>
      <color indexed="10"/>
      <name val="Arial"/>
      <family val="2"/>
    </font>
    <font>
      <b/>
      <sz val="9"/>
      <color indexed="21"/>
      <name val="Arial"/>
      <family val="2"/>
    </font>
    <font>
      <sz val="9"/>
      <color indexed="57"/>
      <name val="Arial"/>
      <family val="2"/>
    </font>
    <font>
      <sz val="9"/>
      <color indexed="12"/>
      <name val="Arial"/>
      <family val="2"/>
    </font>
    <font>
      <sz val="9"/>
      <color indexed="10"/>
      <name val="Arial"/>
      <family val="2"/>
    </font>
    <font>
      <b/>
      <u val="single"/>
      <sz val="9"/>
      <color indexed="12"/>
      <name val="Arial"/>
      <family val="2"/>
    </font>
    <font>
      <sz val="9"/>
      <name val="Rupee Foradian Standard"/>
      <family val="2"/>
    </font>
    <font>
      <b/>
      <u val="single"/>
      <sz val="10"/>
      <color indexed="12"/>
      <name val="Arial"/>
      <family val="2"/>
    </font>
    <font>
      <sz val="9"/>
      <color indexed="10"/>
      <name val="Rupee Foradian Standard"/>
      <family val="2"/>
    </font>
    <font>
      <sz val="9"/>
      <color indexed="57"/>
      <name val="Rupee Foradian Standard"/>
      <family val="2"/>
    </font>
    <font>
      <b/>
      <u val="single"/>
      <sz val="12"/>
      <color indexed="61"/>
      <name val="Arial"/>
      <family val="2"/>
    </font>
    <font>
      <b/>
      <sz val="10"/>
      <color indexed="12"/>
      <name val="Arial"/>
      <family val="2"/>
    </font>
    <font>
      <b/>
      <u val="single"/>
      <sz val="12"/>
      <color indexed="10"/>
      <name val="Arial"/>
      <family val="2"/>
    </font>
    <font>
      <b/>
      <u val="single"/>
      <sz val="10"/>
      <name val="Arial"/>
      <family val="2"/>
    </font>
    <font>
      <sz val="10"/>
      <color indexed="10"/>
      <name val="Rupee Foradian Standard"/>
      <family val="2"/>
    </font>
    <font>
      <b/>
      <sz val="9"/>
      <color indexed="14"/>
      <name val="Arial"/>
      <family val="2"/>
    </font>
    <font>
      <b/>
      <sz val="11"/>
      <color indexed="10"/>
      <name val="Calibri"/>
      <family val="2"/>
    </font>
    <font>
      <b/>
      <sz val="11"/>
      <name val="Calibri"/>
      <family val="2"/>
    </font>
    <font>
      <b/>
      <sz val="8"/>
      <color indexed="8"/>
      <name val="Arial"/>
      <family val="2"/>
    </font>
    <font>
      <b/>
      <sz val="10"/>
      <name val="Calibri"/>
      <family val="2"/>
    </font>
    <font>
      <b/>
      <sz val="8"/>
      <name val="Calibri"/>
      <family val="2"/>
    </font>
    <font>
      <b/>
      <sz val="8"/>
      <name val="Arial"/>
      <family val="2"/>
    </font>
    <font>
      <sz val="11"/>
      <name val="Calibri"/>
      <family val="2"/>
    </font>
    <font>
      <b/>
      <sz val="14"/>
      <color indexed="10"/>
      <name val="Calibri"/>
      <family val="2"/>
    </font>
    <font>
      <b/>
      <sz val="11"/>
      <color indexed="30"/>
      <name val="Comic Sans MS"/>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10"/>
      <name val="Cambria"/>
      <family val="1"/>
    </font>
    <font>
      <b/>
      <sz val="10"/>
      <color indexed="58"/>
      <name val="Cambria"/>
      <family val="1"/>
    </font>
    <font>
      <sz val="10"/>
      <color indexed="58"/>
      <name val="Cambria"/>
      <family val="1"/>
    </font>
    <font>
      <b/>
      <sz val="10"/>
      <color indexed="12"/>
      <name val="Times New Roman"/>
      <family val="1"/>
    </font>
    <font>
      <u val="single"/>
      <sz val="10"/>
      <color indexed="12"/>
      <name val="Cambria"/>
      <family val="1"/>
    </font>
    <font>
      <b/>
      <sz val="12"/>
      <color indexed="10"/>
      <name val="Cambria"/>
      <family val="1"/>
    </font>
    <font>
      <b/>
      <sz val="10"/>
      <color indexed="8"/>
      <name val="Cambria"/>
      <family val="1"/>
    </font>
    <font>
      <b/>
      <sz val="12"/>
      <color indexed="61"/>
      <name val="Arial"/>
      <family val="2"/>
    </font>
    <font>
      <b/>
      <sz val="11"/>
      <color indexed="12"/>
      <name val="Times New Roman"/>
      <family val="1"/>
    </font>
    <font>
      <b/>
      <sz val="12"/>
      <color indexed="12"/>
      <name val="Times New Roman"/>
      <family val="1"/>
    </font>
    <font>
      <sz val="11"/>
      <color indexed="42"/>
      <name val="Calibri"/>
      <family val="2"/>
    </font>
    <font>
      <sz val="10"/>
      <color indexed="42"/>
      <name val="Arial"/>
      <family val="2"/>
    </font>
    <font>
      <b/>
      <sz val="10"/>
      <color indexed="12"/>
      <name val="Cambria"/>
      <family val="1"/>
    </font>
    <font>
      <b/>
      <sz val="8"/>
      <color indexed="58"/>
      <name val="Cambria"/>
      <family val="1"/>
    </font>
    <font>
      <b/>
      <sz val="9"/>
      <color indexed="12"/>
      <name val="Cambria"/>
      <family val="1"/>
    </font>
    <font>
      <b/>
      <sz val="9"/>
      <color indexed="12"/>
      <name val="Times New Roman"/>
      <family val="1"/>
    </font>
    <font>
      <sz val="14"/>
      <color indexed="10"/>
      <name val="Cambria"/>
      <family val="1"/>
    </font>
    <font>
      <b/>
      <sz val="16"/>
      <name val="Cambria"/>
      <family val="1"/>
    </font>
    <font>
      <sz val="9"/>
      <color indexed="12"/>
      <name val="Times New Roman"/>
      <family val="1"/>
    </font>
    <font>
      <b/>
      <sz val="12"/>
      <color indexed="59"/>
      <name val="Tahoma"/>
      <family val="2"/>
    </font>
    <font>
      <sz val="22"/>
      <color indexed="12"/>
      <name val="Cambria"/>
      <family val="1"/>
    </font>
    <font>
      <sz val="13"/>
      <color indexed="8"/>
      <name val="Cambria"/>
      <family val="1"/>
    </font>
    <font>
      <b/>
      <sz val="14"/>
      <color indexed="58"/>
      <name val="Cambria"/>
      <family val="1"/>
    </font>
    <font>
      <sz val="30"/>
      <color indexed="8"/>
      <name val="Cambria"/>
      <family val="1"/>
    </font>
    <font>
      <b/>
      <sz val="12"/>
      <color indexed="8"/>
      <name val="Cambria"/>
      <family val="1"/>
    </font>
    <font>
      <sz val="8"/>
      <name val="Tahoma"/>
      <family val="2"/>
    </font>
    <font>
      <b/>
      <sz val="14"/>
      <color indexed="8"/>
      <name val="Cambria"/>
      <family val="0"/>
    </font>
    <font>
      <b/>
      <sz val="16"/>
      <color indexed="10"/>
      <name val="Calibri"/>
      <family val="0"/>
    </font>
    <font>
      <b/>
      <sz val="24"/>
      <name val="Cambria"/>
      <family val="0"/>
    </font>
    <font>
      <b/>
      <sz val="13"/>
      <color indexed="8"/>
      <name val="Cambria"/>
      <family val="0"/>
    </font>
    <font>
      <b/>
      <sz val="12"/>
      <color indexed="8"/>
      <name val="Calibri"/>
      <family val="0"/>
    </font>
    <font>
      <b/>
      <sz val="12"/>
      <color indexed="8"/>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Cambria"/>
      <family val="1"/>
    </font>
    <font>
      <b/>
      <sz val="10"/>
      <color rgb="FFFF0000"/>
      <name val="Cambria"/>
      <family val="1"/>
    </font>
    <font>
      <b/>
      <sz val="10"/>
      <color theme="1"/>
      <name val="Times New Roman"/>
      <family val="1"/>
    </font>
    <font>
      <b/>
      <sz val="10"/>
      <color rgb="FF0000FF"/>
      <name val="Times New Roman"/>
      <family val="1"/>
    </font>
    <font>
      <sz val="10"/>
      <color rgb="FF3366FF"/>
      <name val="Arial"/>
      <family val="2"/>
    </font>
    <font>
      <u val="single"/>
      <sz val="10"/>
      <color theme="10"/>
      <name val="Arial"/>
      <family val="2"/>
    </font>
    <font>
      <b/>
      <u val="single"/>
      <sz val="10"/>
      <color rgb="FFFF0000"/>
      <name val="Arial"/>
      <family val="2"/>
    </font>
    <font>
      <sz val="10"/>
      <color rgb="FF3333FF"/>
      <name val="Arial"/>
      <family val="2"/>
    </font>
    <font>
      <u val="single"/>
      <sz val="10"/>
      <color theme="10"/>
      <name val="Cambria"/>
      <family val="1"/>
    </font>
    <font>
      <b/>
      <sz val="12"/>
      <color rgb="FFFF0000"/>
      <name val="Cambria"/>
      <family val="1"/>
    </font>
    <font>
      <b/>
      <sz val="9"/>
      <color rgb="FF0000CC"/>
      <name val="Arial"/>
      <family val="2"/>
    </font>
    <font>
      <b/>
      <sz val="10"/>
      <color theme="1"/>
      <name val="Cambria"/>
      <family val="1"/>
    </font>
    <font>
      <b/>
      <sz val="11"/>
      <color rgb="FFFF0000"/>
      <name val="Arial"/>
      <family val="2"/>
    </font>
    <font>
      <b/>
      <sz val="10"/>
      <color rgb="FFFF0000"/>
      <name val="Arial"/>
      <family val="2"/>
    </font>
    <font>
      <b/>
      <sz val="9"/>
      <color rgb="FFFF0000"/>
      <name val="Arial"/>
      <family val="2"/>
    </font>
    <font>
      <b/>
      <sz val="12"/>
      <color rgb="FF7030A0"/>
      <name val="Arial"/>
      <family val="2"/>
    </font>
    <font>
      <sz val="10"/>
      <color theme="10"/>
      <name val="Arial"/>
      <family val="2"/>
    </font>
    <font>
      <b/>
      <sz val="11"/>
      <color rgb="FF0000FF"/>
      <name val="Times New Roman"/>
      <family val="1"/>
    </font>
    <font>
      <b/>
      <sz val="12"/>
      <color rgb="FF0000FF"/>
      <name val="Times New Roman"/>
      <family val="1"/>
    </font>
    <font>
      <b/>
      <sz val="11"/>
      <color rgb="FFFF0000"/>
      <name val="Times New Roman"/>
      <family val="1"/>
    </font>
    <font>
      <sz val="11"/>
      <color theme="6" tint="0.39998000860214233"/>
      <name val="Calibri"/>
      <family val="2"/>
    </font>
    <font>
      <b/>
      <sz val="10"/>
      <color rgb="FF0000CC"/>
      <name val="Times New Roman"/>
      <family val="1"/>
    </font>
    <font>
      <b/>
      <sz val="11"/>
      <color rgb="FFFF0000"/>
      <name val="Calibri"/>
      <family val="2"/>
    </font>
    <font>
      <sz val="10"/>
      <color theme="6" tint="0.39998000860214233"/>
      <name val="Arial"/>
      <family val="2"/>
    </font>
    <font>
      <b/>
      <sz val="12"/>
      <color rgb="FFFF0000"/>
      <name val="Times New Roman"/>
      <family val="1"/>
    </font>
    <font>
      <b/>
      <sz val="10"/>
      <color rgb="FF0000CC"/>
      <name val="Cambria"/>
      <family val="1"/>
    </font>
    <font>
      <b/>
      <sz val="9"/>
      <color rgb="FF0000CC"/>
      <name val="Cambria"/>
      <family val="1"/>
    </font>
    <font>
      <b/>
      <sz val="10"/>
      <color rgb="FFFF0000"/>
      <name val="Times New Roman"/>
      <family val="1"/>
    </font>
    <font>
      <b/>
      <sz val="9"/>
      <color rgb="FFFF0000"/>
      <name val="Times New Roman"/>
      <family val="1"/>
    </font>
    <font>
      <b/>
      <sz val="9"/>
      <color rgb="FF0000FF"/>
      <name val="Times New Roman"/>
      <family val="1"/>
    </font>
    <font>
      <sz val="14"/>
      <color rgb="FFFF0000"/>
      <name val="Cambria"/>
      <family val="1"/>
    </font>
    <font>
      <sz val="22"/>
      <color rgb="FF0000FF"/>
      <name val="Cambria"/>
      <family val="1"/>
    </font>
    <font>
      <b/>
      <sz val="12"/>
      <color theme="2" tint="-0.8999800086021423"/>
      <name val="Tahoma"/>
      <family val="2"/>
    </font>
    <font>
      <b/>
      <sz val="14"/>
      <color rgb="FFFF0000"/>
      <name val="Times New Roman"/>
      <family val="1"/>
    </font>
    <font>
      <sz val="9"/>
      <color rgb="FF0000FF"/>
      <name val="Times New Roman"/>
      <family val="1"/>
    </font>
    <font>
      <b/>
      <sz val="12"/>
      <color rgb="FF0000CC"/>
      <name val="Times New Roman"/>
      <family val="1"/>
    </font>
  </fonts>
  <fills count="10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9" tint="-0.24997000396251678"/>
        <bgColor indexed="64"/>
      </patternFill>
    </fill>
    <fill>
      <patternFill patternType="solid">
        <fgColor indexed="19"/>
        <bgColor indexed="64"/>
      </patternFill>
    </fill>
    <fill>
      <patternFill patternType="solid">
        <fgColor indexed="29"/>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indexed="16"/>
        <bgColor indexed="64"/>
      </patternFill>
    </fill>
    <fill>
      <patternFill patternType="solid">
        <fgColor theme="6" tint="-0.24997000396251678"/>
        <bgColor indexed="64"/>
      </patternFill>
    </fill>
    <fill>
      <patternFill patternType="solid">
        <fgColor indexed="27"/>
        <bgColor indexed="64"/>
      </patternFill>
    </fill>
    <fill>
      <patternFill patternType="solid">
        <fgColor indexed="43"/>
        <bgColor indexed="64"/>
      </patternFill>
    </fill>
    <fill>
      <patternFill patternType="solid">
        <fgColor theme="2" tint="-0.09996999800205231"/>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rgb="FFFFFF66"/>
        <bgColor indexed="64"/>
      </patternFill>
    </fill>
    <fill>
      <patternFill patternType="solid">
        <fgColor theme="7" tint="0.5999900102615356"/>
        <bgColor indexed="64"/>
      </patternFill>
    </fill>
    <fill>
      <patternFill patternType="solid">
        <fgColor rgb="FFF3F3F3"/>
        <bgColor indexed="64"/>
      </patternFill>
    </fill>
    <fill>
      <patternFill patternType="solid">
        <fgColor rgb="FFF3F3F3"/>
        <bgColor indexed="64"/>
      </patternFill>
    </fill>
    <fill>
      <patternFill patternType="solid">
        <fgColor rgb="FFCCFDBB"/>
        <bgColor indexed="64"/>
      </patternFill>
    </fill>
    <fill>
      <patternFill patternType="solid">
        <fgColor rgb="FFFDE9D9"/>
        <bgColor indexed="64"/>
      </patternFill>
    </fill>
    <fill>
      <patternFill patternType="solid">
        <fgColor rgb="FF92D050"/>
        <bgColor indexed="64"/>
      </patternFill>
    </fill>
    <fill>
      <patternFill patternType="solid">
        <fgColor theme="0" tint="-0.04997999966144562"/>
        <bgColor indexed="64"/>
      </patternFill>
    </fill>
    <fill>
      <patternFill patternType="solid">
        <fgColor theme="9" tint="0.39998000860214233"/>
        <bgColor indexed="64"/>
      </patternFill>
    </fill>
    <fill>
      <patternFill patternType="solid">
        <fgColor rgb="FFFFFFCC"/>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rgb="FFFFFFCC"/>
        <bgColor indexed="64"/>
      </patternFill>
    </fill>
    <fill>
      <patternFill patternType="solid">
        <fgColor theme="6" tint="0.7999799847602844"/>
        <bgColor indexed="64"/>
      </patternFill>
    </fill>
    <fill>
      <patternFill patternType="solid">
        <fgColor rgb="FFFFFFCC"/>
        <bgColor indexed="64"/>
      </patternFill>
    </fill>
    <fill>
      <patternFill patternType="solid">
        <fgColor indexed="65"/>
        <bgColor indexed="64"/>
      </patternFill>
    </fill>
    <fill>
      <patternFill patternType="solid">
        <fgColor indexed="27"/>
        <bgColor indexed="64"/>
      </patternFill>
    </fill>
    <fill>
      <patternFill patternType="solid">
        <fgColor indexed="42"/>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rgb="FFFFFFCC"/>
        <bgColor indexed="64"/>
      </patternFill>
    </fill>
    <fill>
      <patternFill patternType="solid">
        <fgColor rgb="FF99FFCC"/>
        <bgColor indexed="64"/>
      </patternFill>
    </fill>
    <fill>
      <patternFill patternType="solid">
        <fgColor theme="6" tint="0.39998000860214233"/>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rgb="FFFFFF00"/>
        <bgColor indexed="64"/>
      </patternFill>
    </fill>
    <fill>
      <patternFill patternType="solid">
        <fgColor rgb="FFF3F3F3"/>
        <bgColor indexed="64"/>
      </patternFill>
    </fill>
    <fill>
      <patternFill patternType="solid">
        <fgColor theme="2" tint="-0.24997000396251678"/>
        <bgColor indexed="64"/>
      </patternFill>
    </fill>
    <fill>
      <patternFill patternType="solid">
        <fgColor rgb="FFF3F3F3"/>
        <bgColor indexed="64"/>
      </patternFill>
    </fill>
    <fill>
      <patternFill patternType="solid">
        <fgColor rgb="FFFFFFCC"/>
        <bgColor indexed="64"/>
      </patternFill>
    </fill>
    <fill>
      <patternFill patternType="solid">
        <fgColor theme="6" tint="0.5999900102615356"/>
        <bgColor indexed="64"/>
      </patternFill>
    </fill>
    <fill>
      <patternFill patternType="solid">
        <fgColor rgb="FFF3F3F3"/>
        <bgColor indexed="64"/>
      </patternFill>
    </fill>
    <fill>
      <patternFill patternType="solid">
        <fgColor rgb="FF00FF99"/>
        <bgColor indexed="64"/>
      </patternFill>
    </fill>
    <fill>
      <patternFill patternType="solid">
        <fgColor theme="8" tint="0.7999799847602844"/>
        <bgColor indexed="64"/>
      </patternFill>
    </fill>
    <fill>
      <patternFill patternType="solid">
        <fgColor theme="1"/>
        <bgColor indexed="64"/>
      </patternFill>
    </fill>
    <fill>
      <patternFill patternType="solid">
        <fgColor rgb="FFC0C0C0"/>
        <bgColor indexed="64"/>
      </patternFill>
    </fill>
    <fill>
      <patternFill patternType="solid">
        <fgColor indexed="22"/>
        <bgColor indexed="64"/>
      </patternFill>
    </fill>
    <fill>
      <patternFill patternType="solid">
        <fgColor rgb="FFCCECFF"/>
        <bgColor indexed="64"/>
      </patternFill>
    </fill>
    <fill>
      <patternFill patternType="solid">
        <fgColor theme="9" tint="0.39998000860214233"/>
        <bgColor indexed="64"/>
      </patternFill>
    </fill>
    <fill>
      <patternFill patternType="solid">
        <fgColor rgb="FF00FFFF"/>
        <bgColor indexed="64"/>
      </patternFill>
    </fill>
    <fill>
      <patternFill patternType="solid">
        <fgColor rgb="FF00FF99"/>
        <bgColor indexed="64"/>
      </patternFill>
    </fill>
    <fill>
      <patternFill patternType="solid">
        <fgColor rgb="FF00FF99"/>
        <bgColor indexed="64"/>
      </patternFill>
    </fill>
    <fill>
      <patternFill patternType="solid">
        <fgColor rgb="FFD8D8D8"/>
        <bgColor indexed="64"/>
      </patternFill>
    </fill>
    <fill>
      <patternFill patternType="solid">
        <fgColor rgb="FFFFFFCC"/>
        <bgColor indexed="64"/>
      </patternFill>
    </fill>
    <fill>
      <gradientFill degree="90">
        <stop position="0">
          <color rgb="FFFFFF00"/>
        </stop>
        <stop position="0.5">
          <color theme="7" tint="0.40000998973846436"/>
        </stop>
        <stop position="1">
          <color rgb="FFFFFF00"/>
        </stop>
      </gradientFill>
    </fill>
    <fill>
      <gradientFill degree="90">
        <stop position="0">
          <color rgb="FFFFFF00"/>
        </stop>
        <stop position="0.5">
          <color theme="7" tint="0.40000998973846436"/>
        </stop>
        <stop position="1">
          <color rgb="FFFFFF00"/>
        </stop>
      </gradientFill>
    </fill>
    <fill>
      <gradientFill degree="90">
        <stop position="0">
          <color rgb="FFFFFF00"/>
        </stop>
        <stop position="0.5">
          <color theme="7" tint="0.40000998973846436"/>
        </stop>
        <stop position="1">
          <color rgb="FFFFFF00"/>
        </stop>
      </gradientFill>
    </fill>
    <fill>
      <patternFill patternType="solid">
        <fgColor theme="9" tint="0.39998000860214233"/>
        <bgColor indexed="64"/>
      </patternFill>
    </fill>
    <fill>
      <patternFill patternType="solid">
        <fgColor rgb="FFD7E4BC"/>
        <bgColor indexed="64"/>
      </patternFill>
    </fill>
  </fills>
  <borders count="3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color indexed="63"/>
      </right>
      <top style="hair">
        <color indexed="8"/>
      </top>
      <bottom style="hair">
        <color indexed="8"/>
      </bottom>
    </border>
    <border>
      <left style="thin">
        <color indexed="8"/>
      </left>
      <right>
        <color indexed="63"/>
      </right>
      <top style="thin">
        <color indexed="8"/>
      </top>
      <bottom style="hair">
        <color indexed="8"/>
      </bottom>
    </border>
    <border>
      <left>
        <color indexed="63"/>
      </left>
      <right style="medium">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hair">
        <color indexed="8"/>
      </left>
      <right>
        <color indexed="63"/>
      </right>
      <top style="thin">
        <color indexed="8"/>
      </top>
      <bottom style="thin">
        <color indexed="8"/>
      </bottom>
    </border>
    <border>
      <left>
        <color indexed="63"/>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color indexed="63"/>
      </top>
      <bottom style="thin">
        <color indexed="8"/>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color indexed="8"/>
      </right>
      <top style="hair">
        <color indexed="8"/>
      </top>
      <bottom style="thin">
        <color indexed="8"/>
      </bottom>
    </border>
    <border>
      <left style="thin">
        <color indexed="8"/>
      </left>
      <right style="thin">
        <color indexed="8"/>
      </right>
      <top style="thin">
        <color indexed="8"/>
      </top>
      <bottom style="thin">
        <color indexed="8"/>
      </bottom>
    </border>
    <border>
      <left style="double"/>
      <right style="medium"/>
      <top style="medium"/>
      <bottom style="medium"/>
    </border>
    <border>
      <left style="double"/>
      <right style="medium"/>
      <top style="medium"/>
      <bottom style="double"/>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color indexed="63"/>
      </bottom>
    </border>
    <border>
      <left style="medium">
        <color indexed="8"/>
      </left>
      <right style="medium">
        <color indexed="8"/>
      </right>
      <top>
        <color indexed="63"/>
      </top>
      <bottom style="medium">
        <color indexed="8"/>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border>
    <border>
      <left style="thin"/>
      <right style="thin"/>
      <top style="thin"/>
      <bottom style="thin"/>
    </border>
    <border>
      <left style="medium">
        <color indexed="10"/>
      </left>
      <right style="medium">
        <color indexed="8"/>
      </right>
      <top style="thin">
        <color indexed="8"/>
      </top>
      <bottom style="thin">
        <color indexed="8"/>
      </bottom>
    </border>
    <border>
      <left>
        <color indexed="63"/>
      </left>
      <right>
        <color indexed="63"/>
      </right>
      <top>
        <color indexed="63"/>
      </top>
      <bottom style="medium">
        <color indexed="10"/>
      </bottom>
    </border>
    <border>
      <left>
        <color indexed="63"/>
      </left>
      <right style="medium">
        <color theme="1"/>
      </right>
      <top style="medium">
        <color indexed="8"/>
      </top>
      <bottom style="medium">
        <color indexed="8"/>
      </bottom>
    </border>
    <border>
      <left style="medium">
        <color indexed="10"/>
      </left>
      <right style="medium">
        <color indexed="8"/>
      </right>
      <top>
        <color indexed="63"/>
      </top>
      <bottom style="thin">
        <color indexed="8"/>
      </bottom>
    </border>
    <border>
      <left style="medium"/>
      <right style="medium"/>
      <top style="medium"/>
      <bottom style="medium"/>
    </border>
    <border>
      <left style="medium">
        <color theme="1"/>
      </left>
      <right>
        <color indexed="63"/>
      </right>
      <top style="medium">
        <color theme="1"/>
      </top>
      <bottom>
        <color indexed="63"/>
      </bottom>
    </border>
    <border>
      <left>
        <color indexed="63"/>
      </left>
      <right>
        <color indexed="63"/>
      </right>
      <top style="medium"/>
      <bottom>
        <color indexed="63"/>
      </bottom>
    </border>
    <border>
      <left>
        <color indexed="63"/>
      </left>
      <right>
        <color indexed="63"/>
      </right>
      <top style="slantDashDot">
        <color rgb="FFFF0000"/>
      </top>
      <bottom style="slantDashDot">
        <color rgb="FFFF0000"/>
      </bottom>
    </border>
    <border>
      <left style="slantDashDot">
        <color rgb="FFFF0000"/>
      </left>
      <right style="slantDashDot">
        <color rgb="FFFF0000"/>
      </right>
      <top style="slantDashDot">
        <color rgb="FFFF0000"/>
      </top>
      <bottom>
        <color indexed="63"/>
      </bottom>
    </border>
    <border>
      <left style="slantDashDot">
        <color rgb="FFFF0000"/>
      </left>
      <right style="slantDashDot">
        <color rgb="FFFF0000"/>
      </right>
      <top>
        <color indexed="63"/>
      </top>
      <bottom>
        <color indexed="63"/>
      </bottom>
    </border>
    <border>
      <left>
        <color indexed="63"/>
      </left>
      <right style="slantDashDot">
        <color rgb="FFFF0000"/>
      </right>
      <top>
        <color indexed="63"/>
      </top>
      <bottom style="slantDashDot">
        <color rgb="FFFF0000"/>
      </bottom>
    </border>
    <border>
      <left style="slantDashDot">
        <color rgb="FFFF0000"/>
      </left>
      <right>
        <color indexed="63"/>
      </right>
      <top>
        <color indexed="63"/>
      </top>
      <bottom style="slantDashDot">
        <color rgb="FFFF0000"/>
      </bottom>
    </border>
    <border>
      <left style="medium"/>
      <right>
        <color indexed="63"/>
      </right>
      <top style="medium">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hair">
        <color indexed="8"/>
      </bottom>
    </border>
    <border>
      <left>
        <color indexed="63"/>
      </left>
      <right style="medium">
        <color indexed="8"/>
      </right>
      <top>
        <color indexed="63"/>
      </top>
      <bottom style="hair">
        <color indexed="8"/>
      </bottom>
    </border>
    <border>
      <left style="thin">
        <color indexed="8"/>
      </left>
      <right style="medium">
        <color indexed="8"/>
      </right>
      <top style="hair">
        <color indexed="8"/>
      </top>
      <bottom style="hair">
        <color indexed="8"/>
      </bottom>
    </border>
    <border>
      <left style="hair">
        <color indexed="8"/>
      </left>
      <right style="hair">
        <color indexed="8"/>
      </right>
      <top style="medium">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medium"/>
      <right style="medium"/>
      <top style="medium"/>
      <bottom>
        <color indexed="63"/>
      </bottom>
    </border>
    <border>
      <left style="medium"/>
      <right style="medium"/>
      <top>
        <color indexed="63"/>
      </top>
      <bottom>
        <color indexed="63"/>
      </bottom>
    </border>
    <border>
      <left style="thin">
        <color indexed="8"/>
      </left>
      <right style="medium">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medium">
        <color indexed="8"/>
      </left>
      <right>
        <color indexed="63"/>
      </right>
      <top style="thin">
        <color indexed="8"/>
      </top>
      <bottom>
        <color indexed="63"/>
      </bottom>
    </border>
    <border>
      <left style="medium">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thin"/>
      <right>
        <color indexed="63"/>
      </right>
      <top style="hair">
        <color indexed="8"/>
      </top>
      <bottom style="hair">
        <color indexed="8"/>
      </bottom>
    </border>
    <border>
      <left style="thin"/>
      <right>
        <color indexed="63"/>
      </right>
      <top>
        <color indexed="63"/>
      </top>
      <bottom style="thin">
        <color indexed="8"/>
      </bottom>
    </border>
    <border>
      <left>
        <color indexed="63"/>
      </left>
      <right style="medium">
        <color indexed="8"/>
      </right>
      <top style="thin">
        <color indexed="8"/>
      </top>
      <bottom style="hair">
        <color indexed="8"/>
      </bottom>
    </border>
    <border>
      <left>
        <color indexed="63"/>
      </left>
      <right style="thin">
        <color indexed="8"/>
      </right>
      <top style="hair">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medium">
        <color indexed="8"/>
      </bottom>
    </border>
    <border>
      <left>
        <color indexed="63"/>
      </left>
      <right>
        <color indexed="63"/>
      </right>
      <top>
        <color indexed="63"/>
      </top>
      <bottom style="medium">
        <color theme="1"/>
      </bottom>
    </border>
    <border>
      <left style="hair">
        <color theme="1"/>
      </left>
      <right style="hair">
        <color theme="1"/>
      </right>
      <top style="slantDashDot">
        <color theme="1"/>
      </top>
      <bottom>
        <color indexed="63"/>
      </bottom>
    </border>
    <border>
      <left style="hair">
        <color theme="1"/>
      </left>
      <right style="hair">
        <color theme="1"/>
      </right>
      <top>
        <color indexed="63"/>
      </top>
      <bottom>
        <color indexed="63"/>
      </bottom>
    </border>
    <border>
      <left style="medium"/>
      <right>
        <color indexed="63"/>
      </right>
      <top style="medium"/>
      <bottom style="medium"/>
    </border>
    <border>
      <left style="hair"/>
      <right>
        <color indexed="63"/>
      </right>
      <top style="hair"/>
      <bottom style="hair"/>
    </border>
    <border>
      <left>
        <color indexed="63"/>
      </left>
      <right style="slantDashDot">
        <color rgb="FFFF0000"/>
      </right>
      <top style="hair"/>
      <bottom style="hair"/>
    </border>
    <border>
      <left style="medium"/>
      <right>
        <color indexed="63"/>
      </right>
      <top>
        <color indexed="63"/>
      </top>
      <bottom>
        <color indexed="63"/>
      </bottom>
    </border>
    <border>
      <left>
        <color indexed="63"/>
      </left>
      <right>
        <color indexed="63"/>
      </right>
      <top style="hair">
        <color rgb="FFFF0000"/>
      </top>
      <bottom>
        <color indexed="63"/>
      </bottom>
    </border>
    <border>
      <left style="hair">
        <color rgb="FFFF0000"/>
      </left>
      <right>
        <color indexed="63"/>
      </right>
      <top>
        <color indexed="63"/>
      </top>
      <bottom>
        <color indexed="63"/>
      </bottom>
    </border>
    <border>
      <left>
        <color indexed="63"/>
      </left>
      <right style="hair">
        <color rgb="FFFF0000"/>
      </right>
      <top>
        <color indexed="63"/>
      </top>
      <bottom>
        <color indexed="63"/>
      </bottom>
    </border>
    <border>
      <left style="hair">
        <color rgb="FFFF0000"/>
      </left>
      <right>
        <color indexed="63"/>
      </right>
      <top>
        <color indexed="63"/>
      </top>
      <bottom style="hair">
        <color rgb="FFFF0000"/>
      </bottom>
    </border>
    <border>
      <left>
        <color indexed="63"/>
      </left>
      <right>
        <color indexed="63"/>
      </right>
      <top>
        <color indexed="63"/>
      </top>
      <bottom style="hair">
        <color rgb="FFFF0000"/>
      </bottom>
    </border>
    <border>
      <left>
        <color indexed="63"/>
      </left>
      <right style="hair">
        <color rgb="FFFF0000"/>
      </right>
      <top>
        <color indexed="63"/>
      </top>
      <bottom style="hair">
        <color rgb="FFFF0000"/>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color indexed="63"/>
      </left>
      <right style="slantDashDot">
        <color rgb="FFFF0000"/>
      </right>
      <top>
        <color indexed="63"/>
      </top>
      <bottom>
        <color indexed="63"/>
      </bottom>
    </border>
    <border>
      <left style="hair"/>
      <right style="hair"/>
      <top>
        <color indexed="63"/>
      </top>
      <bottom style="hair"/>
    </border>
    <border>
      <left style="hair"/>
      <right style="medium"/>
      <top>
        <color indexed="63"/>
      </top>
      <bottom style="hair"/>
    </border>
    <border>
      <left/>
      <right/>
      <top style="thin">
        <color indexed="53"/>
      </top>
      <bottom style="thin">
        <color rgb="FFFF0000"/>
      </bottom>
    </border>
    <border>
      <left/>
      <right style="thin">
        <color indexed="8"/>
      </right>
      <top style="thin">
        <color indexed="53"/>
      </top>
      <bottom style="thin">
        <color rgb="FFFF0000"/>
      </bottom>
    </border>
    <border>
      <left style="medium">
        <color theme="1"/>
      </left>
      <right style="medium">
        <color theme="1"/>
      </right>
      <top style="medium">
        <color theme="1"/>
      </top>
      <bottom>
        <color indexed="63"/>
      </bottom>
    </border>
    <border>
      <left style="medium">
        <color theme="1"/>
      </left>
      <right style="medium">
        <color theme="1"/>
      </right>
      <top style="hair">
        <color theme="1"/>
      </top>
      <bottom style="hair">
        <color theme="1"/>
      </bottom>
    </border>
    <border>
      <left style="medium">
        <color theme="1"/>
      </left>
      <right style="medium">
        <color theme="1"/>
      </right>
      <top>
        <color indexed="63"/>
      </top>
      <bottom>
        <color indexed="63"/>
      </bottom>
    </border>
    <border>
      <left/>
      <right style="thick">
        <color indexed="12"/>
      </right>
      <top/>
      <bottom/>
    </border>
    <border>
      <left/>
      <right style="thick">
        <color indexed="12"/>
      </right>
      <top style="thin">
        <color rgb="FFFF0000"/>
      </top>
      <bottom style="thin">
        <color rgb="FFFF0000"/>
      </bottom>
    </border>
    <border>
      <left/>
      <right/>
      <top style="thin">
        <color rgb="FFFF0000"/>
      </top>
      <bottom style="thin">
        <color rgb="FFFF0000"/>
      </bottom>
    </border>
    <border>
      <left/>
      <right/>
      <top style="thin">
        <color rgb="FFFF0000"/>
      </top>
      <bottom/>
    </border>
    <border>
      <left/>
      <right/>
      <top/>
      <bottom style="thin">
        <color theme="0"/>
      </bottom>
    </border>
    <border>
      <left/>
      <right style="thick">
        <color indexed="12"/>
      </right>
      <top/>
      <bottom style="thin">
        <color rgb="FFFF0000"/>
      </bottom>
    </border>
    <border>
      <left/>
      <right/>
      <top style="thin">
        <color theme="0"/>
      </top>
      <bottom style="thin">
        <color rgb="FFFF0000"/>
      </bottom>
    </border>
    <border>
      <left/>
      <right/>
      <top style="thin">
        <color rgb="FFFF0000"/>
      </top>
      <bottom style="thin">
        <color theme="0"/>
      </bottom>
    </border>
    <border>
      <left/>
      <right/>
      <top style="thin">
        <color theme="0"/>
      </top>
      <bottom style="thin">
        <color theme="0"/>
      </bottom>
    </border>
    <border>
      <left/>
      <right/>
      <top/>
      <bottom style="thin">
        <color rgb="FFFF0000"/>
      </bottom>
    </border>
    <border>
      <left/>
      <right/>
      <top style="thin">
        <color theme="0"/>
      </top>
      <bottom style="thin">
        <color indexed="8"/>
      </bottom>
    </border>
    <border>
      <left/>
      <right style="thin">
        <color indexed="22"/>
      </right>
      <top style="thin">
        <color rgb="FFFF0000"/>
      </top>
      <bottom style="thin">
        <color indexed="8"/>
      </bottom>
    </border>
    <border>
      <left style="thin">
        <color indexed="22"/>
      </left>
      <right/>
      <top style="thin">
        <color indexed="8"/>
      </top>
      <bottom style="thin">
        <color indexed="53"/>
      </bottom>
    </border>
    <border>
      <left/>
      <right style="thin">
        <color indexed="8"/>
      </right>
      <top style="thin">
        <color indexed="8"/>
      </top>
      <bottom style="thin">
        <color indexed="53"/>
      </bottom>
    </border>
    <border>
      <left style="thin">
        <color indexed="22"/>
      </left>
      <right/>
      <top style="thin">
        <color indexed="53"/>
      </top>
      <bottom style="thin">
        <color indexed="53"/>
      </bottom>
    </border>
    <border>
      <left/>
      <right style="thin">
        <color indexed="8"/>
      </right>
      <top style="thin">
        <color indexed="53"/>
      </top>
      <bottom style="thin">
        <color indexed="53"/>
      </bottom>
    </border>
    <border>
      <left/>
      <right style="thin">
        <color indexed="22"/>
      </right>
      <top style="thin">
        <color indexed="53"/>
      </top>
      <bottom style="thin">
        <color rgb="FFFF0000"/>
      </bottom>
    </border>
    <border>
      <left style="thin">
        <color indexed="53"/>
      </left>
      <right/>
      <top style="thin">
        <color indexed="53"/>
      </top>
      <bottom style="thin">
        <color indexed="53"/>
      </bottom>
    </border>
    <border>
      <left/>
      <right style="thin">
        <color indexed="22"/>
      </right>
      <top/>
      <bottom style="thin">
        <color indexed="22"/>
      </bottom>
    </border>
    <border>
      <left/>
      <right style="thin">
        <color indexed="53"/>
      </right>
      <top style="thin">
        <color indexed="53"/>
      </top>
      <bottom style="thin">
        <color indexed="53"/>
      </bottom>
    </border>
    <border>
      <left/>
      <right/>
      <top style="thin">
        <color indexed="53"/>
      </top>
      <bottom/>
    </border>
    <border>
      <left/>
      <right style="thin">
        <color indexed="9"/>
      </right>
      <top/>
      <bottom style="thin">
        <color rgb="FFFF0000"/>
      </bottom>
    </border>
    <border>
      <left/>
      <right style="thin">
        <color indexed="9"/>
      </right>
      <top style="thin">
        <color rgb="FFFF0000"/>
      </top>
      <bottom style="thin">
        <color rgb="FFFF0000"/>
      </bottom>
    </border>
    <border>
      <left style="thin">
        <color indexed="9"/>
      </left>
      <right/>
      <top style="thin">
        <color rgb="FFFF0000"/>
      </top>
      <bottom style="thin">
        <color rgb="FFFF0000"/>
      </bottom>
    </border>
    <border>
      <left style="thin">
        <color indexed="8"/>
      </left>
      <right/>
      <top>
        <color indexed="63"/>
      </top>
      <bottom style="thin">
        <color rgb="FFFF0000"/>
      </bottom>
    </border>
    <border>
      <left style="thin">
        <color indexed="9"/>
      </left>
      <right style="thin">
        <color indexed="8"/>
      </right>
      <top/>
      <bottom style="thin">
        <color rgb="FFFF0000"/>
      </bottom>
    </border>
    <border>
      <left style="hair">
        <color indexed="8"/>
      </left>
      <right style="hair">
        <color indexed="8"/>
      </right>
      <top style="hair">
        <color indexed="8"/>
      </top>
      <bottom>
        <color indexed="63"/>
      </bottom>
    </border>
    <border>
      <left style="hair">
        <color rgb="FFFF0000"/>
      </left>
      <right>
        <color indexed="63"/>
      </right>
      <top style="hair">
        <color rgb="FFFF0000"/>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hair"/>
      <top>
        <color indexed="63"/>
      </top>
      <bottom style="hair"/>
    </border>
    <border>
      <left style="medium"/>
      <right style="slantDashDot">
        <color rgb="FFFF0000"/>
      </right>
      <top style="medium"/>
      <bottom>
        <color indexed="63"/>
      </bottom>
    </border>
    <border>
      <left style="medium"/>
      <right style="slantDashDot">
        <color rgb="FFFF0000"/>
      </right>
      <top>
        <color indexed="63"/>
      </top>
      <bottom>
        <color indexed="63"/>
      </bottom>
    </border>
    <border>
      <left style="medium"/>
      <right style="slantDashDot">
        <color rgb="FFFF0000"/>
      </right>
      <top>
        <color indexed="63"/>
      </top>
      <bottom style="medium"/>
    </border>
    <border>
      <left style="hair">
        <color indexed="8"/>
      </left>
      <right>
        <color indexed="63"/>
      </right>
      <top style="hair">
        <color indexed="8"/>
      </top>
      <bottom>
        <color indexed="63"/>
      </bottom>
    </border>
    <border>
      <left style="hair">
        <color indexed="8"/>
      </left>
      <right style="thin">
        <color indexed="8"/>
      </right>
      <top style="hair">
        <color indexed="8"/>
      </top>
      <bottom style="hair">
        <color indexed="8"/>
      </bottom>
    </border>
    <border>
      <left>
        <color indexed="63"/>
      </left>
      <right style="medium">
        <color indexed="8"/>
      </right>
      <top style="hair">
        <color indexed="8"/>
      </top>
      <bottom>
        <color indexed="63"/>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thin">
        <color indexed="8"/>
      </bottom>
    </border>
    <border>
      <left style="thin">
        <color indexed="8"/>
      </left>
      <right style="hair">
        <color indexed="8"/>
      </right>
      <top style="thin">
        <color indexed="8"/>
      </top>
      <bottom style="thin">
        <color indexed="8"/>
      </bottom>
    </border>
    <border>
      <left style="thin">
        <color indexed="8"/>
      </left>
      <right style="hair">
        <color indexed="8"/>
      </right>
      <top style="hair">
        <color indexed="8"/>
      </top>
      <bottom style="thin">
        <color indexed="8"/>
      </bottom>
    </border>
    <border>
      <left>
        <color indexed="63"/>
      </left>
      <right style="hair">
        <color rgb="FFFF0000"/>
      </right>
      <top style="hair">
        <color rgb="FFFF0000"/>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color indexed="63"/>
      </left>
      <right style="medium">
        <color indexed="8"/>
      </right>
      <top style="hair">
        <color indexed="8"/>
      </top>
      <bottom style="thin">
        <color indexed="8"/>
      </bottom>
    </border>
    <border>
      <left style="hair"/>
      <right style="double"/>
      <top style="hair"/>
      <bottom style="thin"/>
    </border>
    <border>
      <left style="hair"/>
      <right style="double"/>
      <top/>
      <bottom style="hair"/>
    </border>
    <border>
      <left style="double"/>
      <right style="hair"/>
      <top/>
      <bottom style="hair"/>
    </border>
    <border>
      <left style="double"/>
      <right style="hair"/>
      <top style="hair"/>
      <bottom style="hair"/>
    </border>
    <border>
      <left style="hair"/>
      <right style="hair"/>
      <top>
        <color indexed="63"/>
      </top>
      <bottom>
        <color indexed="63"/>
      </bottom>
    </border>
    <border>
      <left style="double"/>
      <right style="hair"/>
      <top style="hair"/>
      <bottom>
        <color indexed="63"/>
      </bottom>
    </border>
    <border>
      <left style="hair"/>
      <right style="double">
        <color indexed="10"/>
      </right>
      <top style="hair"/>
      <bottom style="thin"/>
    </border>
    <border>
      <left style="double">
        <color indexed="10"/>
      </left>
      <right style="hair"/>
      <top/>
      <bottom style="hair"/>
    </border>
    <border>
      <left style="hair"/>
      <right style="double">
        <color indexed="10"/>
      </right>
      <top/>
      <bottom style="hair"/>
    </border>
    <border>
      <left style="double">
        <color indexed="10"/>
      </left>
      <right style="hair"/>
      <top style="hair"/>
      <bottom style="hair"/>
    </border>
    <border>
      <left style="double">
        <color indexed="10"/>
      </left>
      <right style="hair"/>
      <top style="hair"/>
      <bottom>
        <color indexed="63"/>
      </bottom>
    </border>
    <border>
      <left>
        <color indexed="63"/>
      </left>
      <right>
        <color indexed="63"/>
      </right>
      <top style="slantDashDot">
        <color indexed="8"/>
      </top>
      <bottom>
        <color indexed="63"/>
      </bottom>
    </border>
    <border>
      <left style="slantDashDot">
        <color rgb="FFFF0000"/>
      </left>
      <right>
        <color indexed="63"/>
      </right>
      <top>
        <color indexed="63"/>
      </top>
      <bottom>
        <color indexed="63"/>
      </bottom>
    </border>
    <border>
      <left style="medium"/>
      <right style="medium">
        <color indexed="8"/>
      </right>
      <top>
        <color indexed="63"/>
      </top>
      <bottom style="medium">
        <color indexed="8"/>
      </bottom>
    </border>
    <border>
      <left style="slantDashDot">
        <color rgb="FFFF0000"/>
      </left>
      <right style="slantDashDot">
        <color rgb="FFFF0000"/>
      </right>
      <top style="slantDashDot">
        <color indexed="8"/>
      </top>
      <bottom>
        <color indexed="63"/>
      </bottom>
    </border>
    <border>
      <left style="hair">
        <color theme="1"/>
      </left>
      <right style="thin">
        <color theme="1"/>
      </right>
      <top style="thin">
        <color theme="1"/>
      </top>
      <bottom style="medium"/>
    </border>
    <border>
      <left style="thin">
        <color theme="1"/>
      </left>
      <right>
        <color indexed="63"/>
      </right>
      <top style="hair">
        <color indexed="8"/>
      </top>
      <bottom style="medium">
        <color theme="1"/>
      </bottom>
    </border>
    <border>
      <left>
        <color indexed="63"/>
      </left>
      <right>
        <color indexed="63"/>
      </right>
      <top style="hair">
        <color indexed="8"/>
      </top>
      <bottom style="medium">
        <color theme="1"/>
      </bottom>
    </border>
    <border>
      <left>
        <color indexed="63"/>
      </left>
      <right style="hair"/>
      <top style="hair">
        <color indexed="8"/>
      </top>
      <bottom style="medium">
        <color theme="1"/>
      </bottom>
    </border>
    <border>
      <left>
        <color indexed="63"/>
      </left>
      <right style="double">
        <color indexed="10"/>
      </right>
      <top>
        <color indexed="63"/>
      </top>
      <bottom>
        <color indexed="63"/>
      </bottom>
    </border>
    <border>
      <left>
        <color indexed="63"/>
      </left>
      <right style="double">
        <color indexed="10"/>
      </right>
      <top>
        <color indexed="63"/>
      </top>
      <bottom style="double">
        <color indexed="10"/>
      </bottom>
    </border>
    <border>
      <left/>
      <right style="double">
        <color indexed="10"/>
      </right>
      <top style="thin"/>
      <bottom style="thin"/>
    </border>
    <border>
      <left style="hair"/>
      <right style="double"/>
      <top style="medium">
        <color indexed="10"/>
      </top>
      <bottom style="hair"/>
    </border>
    <border>
      <left>
        <color indexed="63"/>
      </left>
      <right style="double">
        <color indexed="10"/>
      </right>
      <top style="medium">
        <color indexed="10"/>
      </top>
      <bottom>
        <color indexed="63"/>
      </bottom>
    </border>
    <border>
      <left style="hair"/>
      <right style="hair"/>
      <top>
        <color indexed="63"/>
      </top>
      <bottom style="thin"/>
    </border>
    <border>
      <left style="hair"/>
      <right style="hair"/>
      <top style="medium">
        <color indexed="10"/>
      </top>
      <bottom>
        <color indexed="63"/>
      </bottom>
    </border>
    <border>
      <left style="hair"/>
      <right>
        <color indexed="63"/>
      </right>
      <top>
        <color indexed="63"/>
      </top>
      <bottom style="thin"/>
    </border>
    <border>
      <left>
        <color indexed="63"/>
      </left>
      <right style="double">
        <color indexed="10"/>
      </right>
      <top style="medium">
        <color indexed="10"/>
      </top>
      <bottom style="hair"/>
    </border>
    <border>
      <left style="hair"/>
      <right>
        <color indexed="63"/>
      </right>
      <top style="medium">
        <color indexed="10"/>
      </top>
      <bottom>
        <color indexed="63"/>
      </bottom>
    </border>
    <border>
      <left style="thin">
        <color indexed="8"/>
      </left>
      <right>
        <color indexed="63"/>
      </right>
      <top style="medium"/>
      <bottom style="medium">
        <color indexed="8"/>
      </bottom>
    </border>
    <border>
      <left>
        <color indexed="63"/>
      </left>
      <right>
        <color indexed="63"/>
      </right>
      <top style="medium"/>
      <bottom style="medium">
        <color indexed="8"/>
      </bottom>
    </border>
    <border>
      <left style="thin">
        <color indexed="8"/>
      </left>
      <right>
        <color indexed="63"/>
      </right>
      <top style="medium">
        <color indexed="8"/>
      </top>
      <bottom>
        <color indexed="63"/>
      </bottom>
    </border>
    <border>
      <left>
        <color indexed="63"/>
      </left>
      <right style="hair">
        <color theme="1"/>
      </right>
      <top>
        <color indexed="63"/>
      </top>
      <bottom>
        <color indexed="63"/>
      </bottom>
    </border>
    <border>
      <left style="hair">
        <color theme="1"/>
      </left>
      <right>
        <color indexed="63"/>
      </right>
      <top>
        <color indexed="63"/>
      </top>
      <bottom>
        <color indexed="63"/>
      </bottom>
    </border>
    <border>
      <left style="hair">
        <color theme="1"/>
      </left>
      <right style="hair">
        <color theme="1"/>
      </right>
      <top>
        <color indexed="63"/>
      </top>
      <bottom style="medium"/>
    </border>
    <border>
      <left style="hair">
        <color rgb="FFFF0000"/>
      </left>
      <right>
        <color indexed="63"/>
      </right>
      <top style="hair">
        <color rgb="FFFF0000"/>
      </top>
      <bottom style="hair">
        <color rgb="FFFF0000"/>
      </bottom>
    </border>
    <border>
      <left>
        <color indexed="63"/>
      </left>
      <right>
        <color indexed="63"/>
      </right>
      <top style="hair">
        <color rgb="FFFF0000"/>
      </top>
      <bottom style="hair">
        <color rgb="FFFF0000"/>
      </bottom>
    </border>
    <border>
      <left>
        <color indexed="63"/>
      </left>
      <right style="hair">
        <color rgb="FFFF0000"/>
      </right>
      <top style="hair">
        <color rgb="FFFF0000"/>
      </top>
      <bottom style="hair">
        <color rgb="FFFF0000"/>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color theme="1"/>
      </top>
      <bottom>
        <color indexed="63"/>
      </bottom>
    </border>
    <border>
      <left>
        <color indexed="63"/>
      </left>
      <right style="medium">
        <color indexed="8"/>
      </right>
      <top style="medium">
        <color theme="1"/>
      </top>
      <bottom>
        <color indexed="63"/>
      </bottom>
    </border>
    <border>
      <left style="medium"/>
      <right>
        <color indexed="63"/>
      </right>
      <top style="medium"/>
      <bottom>
        <color indexed="63"/>
      </bottom>
    </border>
    <border>
      <left>
        <color indexed="63"/>
      </left>
      <right style="slantDashDot">
        <color rgb="FFFF0000"/>
      </right>
      <top style="medium"/>
      <bottom>
        <color indexed="63"/>
      </bottom>
    </border>
    <border>
      <left style="medium"/>
      <right>
        <color indexed="63"/>
      </right>
      <top>
        <color indexed="63"/>
      </top>
      <bottom style="slantDashDot">
        <color rgb="FFFF0000"/>
      </bottom>
    </border>
    <border>
      <left>
        <color indexed="63"/>
      </left>
      <right>
        <color indexed="63"/>
      </right>
      <top>
        <color indexed="63"/>
      </top>
      <bottom style="slantDashDot">
        <color rgb="FFFF0000"/>
      </bottom>
    </border>
    <border>
      <left>
        <color indexed="63"/>
      </left>
      <right style="slantDashDot">
        <color rgb="FFFF0000"/>
      </right>
      <top style="medium"/>
      <bottom style="medium"/>
    </border>
    <border>
      <left style="slantDashDot">
        <color indexed="8"/>
      </left>
      <right>
        <color indexed="63"/>
      </right>
      <top style="slantDashDot">
        <color indexed="8"/>
      </top>
      <bottom>
        <color indexed="63"/>
      </bottom>
    </border>
    <border>
      <left style="slantDashDot">
        <color indexed="8"/>
      </left>
      <right>
        <color indexed="63"/>
      </right>
      <top>
        <color indexed="63"/>
      </top>
      <bottom style="slantDashDot">
        <color indexed="8"/>
      </bottom>
    </border>
    <border>
      <left>
        <color indexed="63"/>
      </left>
      <right>
        <color indexed="63"/>
      </right>
      <top>
        <color indexed="63"/>
      </top>
      <bottom style="slantDashDot">
        <color indexed="8"/>
      </bottom>
    </border>
    <border>
      <left style="slantDashDot">
        <color indexed="8"/>
      </left>
      <right>
        <color indexed="63"/>
      </right>
      <top style="slantDashDot">
        <color indexed="8"/>
      </top>
      <bottom style="slantDashDot">
        <color indexed="8"/>
      </bottom>
    </border>
    <border>
      <left>
        <color indexed="63"/>
      </left>
      <right>
        <color indexed="63"/>
      </right>
      <top style="slantDashDot">
        <color indexed="8"/>
      </top>
      <bottom style="slantDashDot">
        <color indexed="8"/>
      </bottom>
    </border>
    <border>
      <left>
        <color indexed="63"/>
      </left>
      <right style="slantDashDot">
        <color rgb="FFFF0000"/>
      </right>
      <top style="slantDashDot">
        <color indexed="8"/>
      </top>
      <bottom style="slantDashDot">
        <color indexed="8"/>
      </bottom>
    </border>
    <border>
      <left>
        <color indexed="63"/>
      </left>
      <right style="medium">
        <color indexed="8"/>
      </right>
      <top style="medium"/>
      <bottom>
        <color indexed="63"/>
      </bottom>
    </border>
    <border>
      <left style="hair"/>
      <right>
        <color indexed="63"/>
      </right>
      <top style="medium"/>
      <bottom style="medium"/>
    </border>
    <border>
      <left>
        <color indexed="63"/>
      </left>
      <right style="medium">
        <color indexed="8"/>
      </right>
      <top style="medium"/>
      <bottom style="medium"/>
    </border>
    <border>
      <left style="slantDashDot">
        <color rgb="FFFF0000"/>
      </left>
      <right>
        <color indexed="63"/>
      </right>
      <top style="thin">
        <color indexed="8"/>
      </top>
      <bottom style="thin">
        <color indexed="8"/>
      </bottom>
    </border>
    <border>
      <left>
        <color indexed="63"/>
      </left>
      <right style="medium"/>
      <top style="medium"/>
      <bottom>
        <color indexed="63"/>
      </bottom>
    </border>
    <border>
      <left>
        <color indexed="63"/>
      </left>
      <right style="medium">
        <color indexed="8"/>
      </right>
      <top style="thin">
        <color indexed="8"/>
      </top>
      <bottom>
        <color indexed="63"/>
      </bottom>
    </border>
    <border>
      <left style="hair"/>
      <right style="hair"/>
      <top style="slantDashDot"/>
      <bottom>
        <color indexed="63"/>
      </bottom>
    </border>
    <border>
      <left style="medium"/>
      <right>
        <color indexed="63"/>
      </right>
      <top style="hair">
        <color indexed="10"/>
      </top>
      <bottom style="medium"/>
    </border>
    <border>
      <left>
        <color indexed="63"/>
      </left>
      <right>
        <color indexed="63"/>
      </right>
      <top style="hair">
        <color indexed="10"/>
      </top>
      <bottom style="medium"/>
    </border>
    <border>
      <left>
        <color indexed="63"/>
      </left>
      <right>
        <color indexed="63"/>
      </right>
      <top style="medium">
        <color theme="1"/>
      </top>
      <bottom style="medium">
        <color theme="1"/>
      </bottom>
    </border>
    <border>
      <left>
        <color indexed="63"/>
      </left>
      <right style="medium">
        <color indexed="8"/>
      </right>
      <top style="medium">
        <color theme="1"/>
      </top>
      <bottom style="medium">
        <color theme="1"/>
      </bottom>
    </border>
    <border>
      <left>
        <color indexed="63"/>
      </left>
      <right style="thin">
        <color indexed="8"/>
      </right>
      <top style="medium"/>
      <bottom style="medium"/>
    </border>
    <border>
      <left>
        <color indexed="63"/>
      </left>
      <right>
        <color indexed="63"/>
      </right>
      <top style="medium">
        <color indexed="8"/>
      </top>
      <bottom style="medium">
        <color theme="1"/>
      </bottom>
    </border>
    <border>
      <left>
        <color indexed="63"/>
      </left>
      <right style="medium">
        <color indexed="8"/>
      </right>
      <top style="medium">
        <color indexed="8"/>
      </top>
      <bottom style="medium">
        <color theme="1"/>
      </bottom>
    </border>
    <border>
      <left>
        <color indexed="63"/>
      </left>
      <right style="slantDashDot">
        <color indexed="8"/>
      </right>
      <top style="slantDashDot">
        <color indexed="8"/>
      </top>
      <bottom>
        <color indexed="63"/>
      </bottom>
    </border>
    <border>
      <left style="slantDashDot">
        <color indexed="8"/>
      </left>
      <right>
        <color indexed="63"/>
      </right>
      <top>
        <color indexed="63"/>
      </top>
      <bottom>
        <color indexed="63"/>
      </bottom>
    </border>
    <border>
      <left>
        <color indexed="63"/>
      </left>
      <right style="slantDashDot">
        <color indexed="8"/>
      </right>
      <top>
        <color indexed="63"/>
      </top>
      <bottom>
        <color indexed="63"/>
      </bottom>
    </border>
    <border>
      <left style="medium">
        <color indexed="8"/>
      </left>
      <right>
        <color indexed="63"/>
      </right>
      <top style="medium">
        <color indexed="8"/>
      </top>
      <bottom style="thin"/>
    </border>
    <border>
      <left>
        <color indexed="63"/>
      </left>
      <right>
        <color indexed="63"/>
      </right>
      <top style="medium">
        <color indexed="8"/>
      </top>
      <bottom style="thin"/>
    </border>
    <border>
      <left style="medium"/>
      <right>
        <color indexed="63"/>
      </right>
      <top>
        <color indexed="63"/>
      </top>
      <bottom style="medium"/>
    </border>
    <border>
      <left style="slantDashDot">
        <color rgb="FFFF0000"/>
      </left>
      <right>
        <color indexed="63"/>
      </right>
      <top style="thin">
        <color indexed="8"/>
      </top>
      <bottom style="thin"/>
    </border>
    <border>
      <left>
        <color indexed="63"/>
      </left>
      <right style="medium">
        <color indexed="8"/>
      </right>
      <top style="thin">
        <color indexed="8"/>
      </top>
      <bottom style="thin"/>
    </border>
    <border>
      <left>
        <color indexed="63"/>
      </left>
      <right>
        <color indexed="63"/>
      </right>
      <top style="medium">
        <color theme="1"/>
      </top>
      <bottom style="medium"/>
    </border>
    <border>
      <left>
        <color indexed="63"/>
      </left>
      <right style="medium">
        <color theme="1"/>
      </right>
      <top style="medium">
        <color theme="1"/>
      </top>
      <bottom style="medium"/>
    </border>
    <border>
      <left style="slantDashDot">
        <color indexed="8"/>
      </left>
      <right>
        <color indexed="63"/>
      </right>
      <top>
        <color indexed="63"/>
      </top>
      <bottom style="medium"/>
    </border>
    <border>
      <left>
        <color indexed="63"/>
      </left>
      <right>
        <color indexed="63"/>
      </right>
      <top style="hair">
        <color theme="1"/>
      </top>
      <bottom style="hair">
        <color theme="1"/>
      </bottom>
    </border>
    <border>
      <left>
        <color indexed="63"/>
      </left>
      <right>
        <color indexed="63"/>
      </right>
      <top style="medium">
        <color theme="1"/>
      </top>
      <bottom style="medium">
        <color indexed="8"/>
      </bottom>
    </border>
    <border>
      <left>
        <color indexed="63"/>
      </left>
      <right style="medium">
        <color indexed="8"/>
      </right>
      <top style="medium">
        <color theme="1"/>
      </top>
      <bottom style="medium">
        <color indexed="8"/>
      </bottom>
    </border>
    <border>
      <left>
        <color indexed="63"/>
      </left>
      <right style="hair">
        <color theme="1"/>
      </right>
      <top style="hair"/>
      <bottom style="hair"/>
    </border>
    <border>
      <left style="medium"/>
      <right>
        <color indexed="63"/>
      </right>
      <top style="hair"/>
      <bottom>
        <color indexed="63"/>
      </bottom>
    </border>
    <border>
      <left>
        <color indexed="63"/>
      </left>
      <right>
        <color indexed="63"/>
      </right>
      <top style="thin">
        <color indexed="8"/>
      </top>
      <bottom style="medium"/>
    </border>
    <border>
      <left>
        <color indexed="63"/>
      </left>
      <right style="medium">
        <color indexed="8"/>
      </right>
      <top style="thin">
        <color indexed="8"/>
      </top>
      <bottom style="medium"/>
    </border>
    <border>
      <left style="medium"/>
      <right>
        <color indexed="63"/>
      </right>
      <top style="medium">
        <color indexed="8"/>
      </top>
      <bottom style="medium">
        <color indexed="8"/>
      </bottom>
    </border>
    <border>
      <left style="hair">
        <color theme="1"/>
      </left>
      <right>
        <color indexed="63"/>
      </right>
      <top style="hair">
        <color theme="1"/>
      </top>
      <bottom style="hair">
        <color theme="1"/>
      </bottom>
    </border>
    <border>
      <left>
        <color indexed="63"/>
      </left>
      <right>
        <color indexed="63"/>
      </right>
      <top style="hair">
        <color theme="1"/>
      </top>
      <bottom>
        <color indexed="63"/>
      </bottom>
    </border>
    <border>
      <left style="medium"/>
      <right>
        <color indexed="63"/>
      </right>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color indexed="63"/>
      </top>
      <bottom style="hair"/>
    </border>
    <border>
      <left>
        <color indexed="63"/>
      </left>
      <right style="hair"/>
      <top style="hair"/>
      <bottom style="hair"/>
    </border>
    <border>
      <left style="medium"/>
      <right>
        <color indexed="63"/>
      </right>
      <top style="hair"/>
      <bottom style="medium"/>
    </border>
    <border>
      <left>
        <color indexed="63"/>
      </left>
      <right style="medium"/>
      <top style="hair"/>
      <bottom style="medium"/>
    </border>
    <border>
      <left style="hair"/>
      <right>
        <color indexed="63"/>
      </right>
      <top style="medium">
        <color theme="1"/>
      </top>
      <bottom style="hair"/>
    </border>
    <border>
      <left>
        <color indexed="63"/>
      </left>
      <right>
        <color indexed="63"/>
      </right>
      <top style="medium">
        <color theme="1"/>
      </top>
      <bottom style="hair"/>
    </border>
    <border>
      <left>
        <color indexed="63"/>
      </left>
      <right style="medium"/>
      <top style="medium">
        <color theme="1"/>
      </top>
      <bottom style="hair"/>
    </border>
    <border>
      <left style="hair">
        <color indexed="8"/>
      </left>
      <right>
        <color indexed="63"/>
      </right>
      <top style="medium">
        <color indexed="8"/>
      </top>
      <bottom>
        <color indexed="63"/>
      </bottom>
    </border>
    <border>
      <left>
        <color indexed="63"/>
      </left>
      <right style="slantDashDot">
        <color rgb="FFFF0000"/>
      </right>
      <top style="medium">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style="slantDashDot">
        <color rgb="FFFF0000"/>
      </right>
      <top>
        <color indexed="63"/>
      </top>
      <bottom style="hair">
        <color indexed="8"/>
      </bottom>
    </border>
    <border>
      <left>
        <color indexed="63"/>
      </left>
      <right style="medium"/>
      <top>
        <color indexed="63"/>
      </top>
      <bottom style="slantDashDot">
        <color rgb="FFFF0000"/>
      </bottom>
    </border>
    <border>
      <left style="medium"/>
      <right style="medium"/>
      <top style="medium"/>
      <bottom style="slantDashDot">
        <color rgb="FFFF0000"/>
      </bottom>
    </border>
    <border>
      <left>
        <color indexed="63"/>
      </left>
      <right style="medium"/>
      <top>
        <color indexed="63"/>
      </top>
      <bottom style="hair"/>
    </border>
    <border>
      <left style="medium">
        <color indexed="8"/>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color indexed="63"/>
      </left>
      <right style="thin">
        <color indexed="8"/>
      </right>
      <top style="thin">
        <color indexed="8"/>
      </top>
      <bottom style="thin"/>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right>
        <color indexed="63"/>
      </right>
      <top>
        <color indexed="63"/>
      </top>
      <bottom style="hair">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hair">
        <color indexed="8"/>
      </top>
      <bottom style="hair">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style="thin">
        <color indexed="8"/>
      </right>
      <top style="hair">
        <color indexed="8"/>
      </top>
      <bottom style="thin">
        <color indexed="8"/>
      </bottom>
    </border>
    <border>
      <left style="hair">
        <color indexed="8"/>
      </left>
      <right style="medium">
        <color indexed="8"/>
      </right>
      <top style="thin">
        <color indexed="8"/>
      </top>
      <bottom>
        <color indexed="63"/>
      </bottom>
    </border>
    <border>
      <left style="medium">
        <color indexed="8"/>
      </left>
      <right style="thin">
        <color indexed="8"/>
      </right>
      <top style="thin">
        <color indexed="8"/>
      </top>
      <bottom style="hair">
        <color indexed="8"/>
      </bottom>
    </border>
    <border>
      <left style="hair">
        <color indexed="8"/>
      </left>
      <right>
        <color indexed="63"/>
      </right>
      <top style="hair">
        <color indexed="8"/>
      </top>
      <bottom style="thin">
        <color indexed="8"/>
      </bottom>
    </border>
    <border>
      <left style="hair">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dotted">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double">
        <color indexed="10"/>
      </left>
      <right/>
      <top>
        <color indexed="63"/>
      </top>
      <bottom style="thin"/>
    </border>
    <border>
      <left style="double">
        <color indexed="10"/>
      </left>
      <right/>
      <top style="thin"/>
      <bottom style="thin"/>
    </border>
    <border>
      <left>
        <color indexed="63"/>
      </left>
      <right>
        <color indexed="63"/>
      </right>
      <top style="thin"/>
      <bottom style="thin"/>
    </border>
    <border>
      <left style="double">
        <color indexed="10"/>
      </left>
      <right>
        <color indexed="63"/>
      </right>
      <top style="double">
        <color indexed="10"/>
      </top>
      <bottom style="medium">
        <color indexed="10"/>
      </bottom>
    </border>
    <border>
      <left>
        <color indexed="63"/>
      </left>
      <right>
        <color indexed="63"/>
      </right>
      <top style="double">
        <color indexed="10"/>
      </top>
      <bottom style="medium">
        <color indexed="10"/>
      </bottom>
    </border>
    <border>
      <left>
        <color indexed="63"/>
      </left>
      <right style="double">
        <color indexed="10"/>
      </right>
      <top style="double">
        <color indexed="10"/>
      </top>
      <bottom style="medium">
        <color indexed="10"/>
      </bottom>
    </border>
    <border>
      <left style="double">
        <color indexed="10"/>
      </left>
      <right>
        <color indexed="63"/>
      </right>
      <top style="slantDashDot">
        <color indexed="10"/>
      </top>
      <bottom style="slantDashDot">
        <color indexed="10"/>
      </bottom>
    </border>
    <border>
      <left>
        <color indexed="63"/>
      </left>
      <right>
        <color indexed="63"/>
      </right>
      <top style="slantDashDot">
        <color indexed="10"/>
      </top>
      <bottom style="slantDashDot">
        <color indexed="10"/>
      </bottom>
    </border>
    <border>
      <left>
        <color indexed="63"/>
      </left>
      <right style="double">
        <color indexed="10"/>
      </right>
      <top style="slantDashDot">
        <color indexed="10"/>
      </top>
      <bottom style="slantDashDot">
        <color indexed="10"/>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style="double">
        <color indexed="10"/>
      </left>
      <right/>
      <top style="thin"/>
      <bottom>
        <color indexed="63"/>
      </bottom>
    </border>
    <border>
      <left style="double">
        <color indexed="10"/>
      </left>
      <right style="hair"/>
      <top style="medium">
        <color indexed="10"/>
      </top>
      <bottom/>
    </border>
    <border>
      <left style="double">
        <color indexed="10"/>
      </left>
      <right style="hair"/>
      <top/>
      <bottom style="thin"/>
    </border>
    <border>
      <left style="double"/>
      <right style="hair"/>
      <top style="medium">
        <color indexed="10"/>
      </top>
      <bottom/>
    </border>
    <border>
      <left style="double"/>
      <right style="hair"/>
      <top/>
      <bottom style="thin"/>
    </border>
    <border>
      <left>
        <color indexed="63"/>
      </left>
      <right>
        <color indexed="63"/>
      </right>
      <top style="medium">
        <color indexed="10"/>
      </top>
      <bottom style="thin"/>
    </border>
    <border>
      <left>
        <color indexed="63"/>
      </left>
      <right style="double">
        <color indexed="10"/>
      </right>
      <top style="medium">
        <color indexed="10"/>
      </top>
      <bottom style="thin"/>
    </border>
    <border>
      <left style="slantDashDot">
        <color rgb="FFFF0000"/>
      </left>
      <right>
        <color indexed="63"/>
      </right>
      <top style="slantDashDot">
        <color rgb="FFFF0000"/>
      </top>
      <bottom>
        <color indexed="63"/>
      </bottom>
    </border>
    <border>
      <left>
        <color indexed="63"/>
      </left>
      <right>
        <color indexed="63"/>
      </right>
      <top style="slantDashDot">
        <color rgb="FFFF0000"/>
      </top>
      <bottom>
        <color indexed="63"/>
      </bottom>
    </border>
    <border>
      <left>
        <color indexed="63"/>
      </left>
      <right style="slantDashDot">
        <color rgb="FFFF0000"/>
      </right>
      <top style="slantDashDot">
        <color rgb="FFFF0000"/>
      </top>
      <bottom>
        <color indexed="63"/>
      </bottom>
    </border>
    <border>
      <left style="medium"/>
      <right style="double"/>
      <top style="medium"/>
      <bottom style="medium"/>
    </border>
    <border>
      <left style="medium"/>
      <right style="medium"/>
      <top style="medium"/>
      <bottom style="double"/>
    </border>
    <border>
      <left style="medium"/>
      <right style="double"/>
      <top style="medium"/>
      <bottom style="double"/>
    </border>
    <border>
      <left style="double"/>
      <right style="medium"/>
      <top style="double"/>
      <bottom style="medium"/>
    </border>
    <border>
      <left style="medium"/>
      <right style="medium"/>
      <top style="double"/>
      <bottom style="medium"/>
    </border>
    <border>
      <left style="medium"/>
      <right style="double"/>
      <top style="double"/>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4" fillId="2" borderId="0" applyNumberFormat="0" applyBorder="0" applyAlignment="0" applyProtection="0"/>
    <xf numFmtId="0" fontId="174" fillId="3" borderId="0" applyNumberFormat="0" applyBorder="0" applyAlignment="0" applyProtection="0"/>
    <xf numFmtId="0" fontId="174" fillId="4" borderId="0" applyNumberFormat="0" applyBorder="0" applyAlignment="0" applyProtection="0"/>
    <xf numFmtId="0" fontId="174" fillId="5" borderId="0" applyNumberFormat="0" applyBorder="0" applyAlignment="0" applyProtection="0"/>
    <xf numFmtId="0" fontId="174" fillId="6" borderId="0" applyNumberFormat="0" applyBorder="0" applyAlignment="0" applyProtection="0"/>
    <xf numFmtId="0" fontId="174" fillId="7" borderId="0" applyNumberFormat="0" applyBorder="0" applyAlignment="0" applyProtection="0"/>
    <xf numFmtId="0" fontId="174" fillId="8" borderId="0" applyNumberFormat="0" applyBorder="0" applyAlignment="0" applyProtection="0"/>
    <xf numFmtId="0" fontId="174" fillId="9" borderId="0" applyNumberFormat="0" applyBorder="0" applyAlignment="0" applyProtection="0"/>
    <xf numFmtId="0" fontId="174" fillId="10" borderId="0" applyNumberFormat="0" applyBorder="0" applyAlignment="0" applyProtection="0"/>
    <xf numFmtId="0" fontId="174" fillId="11" borderId="0" applyNumberFormat="0" applyBorder="0" applyAlignment="0" applyProtection="0"/>
    <xf numFmtId="0" fontId="174" fillId="12" borderId="0" applyNumberFormat="0" applyBorder="0" applyAlignment="0" applyProtection="0"/>
    <xf numFmtId="0" fontId="174" fillId="13" borderId="0" applyNumberFormat="0" applyBorder="0" applyAlignment="0" applyProtection="0"/>
    <xf numFmtId="0" fontId="175" fillId="14" borderId="0" applyNumberFormat="0" applyBorder="0" applyAlignment="0" applyProtection="0"/>
    <xf numFmtId="0" fontId="175" fillId="15" borderId="0" applyNumberFormat="0" applyBorder="0" applyAlignment="0" applyProtection="0"/>
    <xf numFmtId="0" fontId="175" fillId="16" borderId="0" applyNumberFormat="0" applyBorder="0" applyAlignment="0" applyProtection="0"/>
    <xf numFmtId="0" fontId="175" fillId="17" borderId="0" applyNumberFormat="0" applyBorder="0" applyAlignment="0" applyProtection="0"/>
    <xf numFmtId="0" fontId="175" fillId="18" borderId="0" applyNumberFormat="0" applyBorder="0" applyAlignment="0" applyProtection="0"/>
    <xf numFmtId="0" fontId="175" fillId="19" borderId="0" applyNumberFormat="0" applyBorder="0" applyAlignment="0" applyProtection="0"/>
    <xf numFmtId="0" fontId="175" fillId="20" borderId="0" applyNumberFormat="0" applyBorder="0" applyAlignment="0" applyProtection="0"/>
    <xf numFmtId="0" fontId="175" fillId="21" borderId="0" applyNumberFormat="0" applyBorder="0" applyAlignment="0" applyProtection="0"/>
    <xf numFmtId="0" fontId="175" fillId="22" borderId="0" applyNumberFormat="0" applyBorder="0" applyAlignment="0" applyProtection="0"/>
    <xf numFmtId="0" fontId="175" fillId="23" borderId="0" applyNumberFormat="0" applyBorder="0" applyAlignment="0" applyProtection="0"/>
    <xf numFmtId="0" fontId="175" fillId="24" borderId="0" applyNumberFormat="0" applyBorder="0" applyAlignment="0" applyProtection="0"/>
    <xf numFmtId="0" fontId="175" fillId="25" borderId="0" applyNumberFormat="0" applyBorder="0" applyAlignment="0" applyProtection="0"/>
    <xf numFmtId="0" fontId="176" fillId="26" borderId="0" applyNumberFormat="0" applyBorder="0" applyAlignment="0" applyProtection="0"/>
    <xf numFmtId="0" fontId="177" fillId="27" borderId="1" applyNumberFormat="0" applyAlignment="0" applyProtection="0"/>
    <xf numFmtId="0" fontId="17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179" fillId="0" borderId="0" applyNumberFormat="0" applyFill="0" applyBorder="0" applyAlignment="0" applyProtection="0"/>
    <xf numFmtId="0" fontId="180" fillId="0" borderId="0" applyNumberFormat="0" applyFill="0" applyBorder="0" applyAlignment="0" applyProtection="0"/>
    <xf numFmtId="0" fontId="181" fillId="29" borderId="0" applyNumberFormat="0" applyBorder="0" applyAlignment="0" applyProtection="0"/>
    <xf numFmtId="0" fontId="182" fillId="0" borderId="3" applyNumberFormat="0" applyFill="0" applyAlignment="0" applyProtection="0"/>
    <xf numFmtId="0" fontId="183" fillId="0" borderId="4" applyNumberFormat="0" applyFill="0" applyAlignment="0" applyProtection="0"/>
    <xf numFmtId="0" fontId="184" fillId="0" borderId="5" applyNumberFormat="0" applyFill="0" applyAlignment="0" applyProtection="0"/>
    <xf numFmtId="0" fontId="184" fillId="0" borderId="0" applyNumberFormat="0" applyFill="0" applyBorder="0" applyAlignment="0" applyProtection="0"/>
    <xf numFmtId="0" fontId="4" fillId="0" borderId="0">
      <alignment/>
      <protection/>
    </xf>
    <xf numFmtId="0" fontId="185" fillId="30" borderId="1" applyNumberFormat="0" applyAlignment="0" applyProtection="0"/>
    <xf numFmtId="0" fontId="186" fillId="0" borderId="6" applyNumberFormat="0" applyFill="0" applyAlignment="0" applyProtection="0"/>
    <xf numFmtId="0" fontId="18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188" fillId="27" borderId="8" applyNumberFormat="0" applyAlignment="0" applyProtection="0"/>
    <xf numFmtId="9" fontId="0" fillId="0" borderId="0" applyFill="0" applyBorder="0" applyAlignment="0" applyProtection="0"/>
    <xf numFmtId="0" fontId="189" fillId="0" borderId="0" applyNumberFormat="0" applyFill="0" applyBorder="0" applyAlignment="0" applyProtection="0"/>
    <xf numFmtId="0" fontId="190" fillId="0" borderId="9" applyNumberFormat="0" applyFill="0" applyAlignment="0" applyProtection="0"/>
    <xf numFmtId="0" fontId="191" fillId="0" borderId="0" applyNumberFormat="0" applyFill="0" applyBorder="0" applyAlignment="0" applyProtection="0"/>
  </cellStyleXfs>
  <cellXfs count="1367">
    <xf numFmtId="0" fontId="0" fillId="0" borderId="0" xfId="0" applyAlignment="1">
      <alignment/>
    </xf>
    <xf numFmtId="175" fontId="2" fillId="0" borderId="0" xfId="46" applyNumberFormat="1" applyFont="1">
      <alignment/>
      <protection/>
    </xf>
    <xf numFmtId="0" fontId="1" fillId="0" borderId="10" xfId="46" applyBorder="1">
      <alignment/>
      <protection/>
    </xf>
    <xf numFmtId="0" fontId="1" fillId="0" borderId="0" xfId="46" applyBorder="1">
      <alignment/>
      <protection/>
    </xf>
    <xf numFmtId="0" fontId="1" fillId="0" borderId="0" xfId="46">
      <alignment/>
      <protection/>
    </xf>
    <xf numFmtId="0" fontId="9" fillId="0" borderId="11" xfId="46" applyFont="1" applyBorder="1" applyAlignment="1" applyProtection="1">
      <alignment horizontal="center"/>
      <protection hidden="1"/>
    </xf>
    <xf numFmtId="0" fontId="9" fillId="0" borderId="12" xfId="46" applyFont="1" applyBorder="1" applyAlignment="1" applyProtection="1">
      <alignment horizontal="left"/>
      <protection hidden="1"/>
    </xf>
    <xf numFmtId="0" fontId="11" fillId="0" borderId="0" xfId="46" applyFont="1" applyBorder="1" applyAlignment="1" applyProtection="1">
      <alignment/>
      <protection hidden="1"/>
    </xf>
    <xf numFmtId="0" fontId="9" fillId="0" borderId="11" xfId="46" applyFont="1" applyBorder="1" applyAlignment="1" applyProtection="1">
      <alignment horizontal="center" vertical="center"/>
      <protection hidden="1"/>
    </xf>
    <xf numFmtId="0" fontId="9" fillId="0" borderId="0" xfId="46" applyFont="1" applyBorder="1" applyAlignment="1" applyProtection="1">
      <alignment horizontal="left"/>
      <protection hidden="1"/>
    </xf>
    <xf numFmtId="0" fontId="13" fillId="0" borderId="0" xfId="46" applyFont="1" applyBorder="1" applyAlignment="1">
      <alignment/>
      <protection/>
    </xf>
    <xf numFmtId="0" fontId="9" fillId="0" borderId="0" xfId="46" applyFont="1" applyBorder="1" applyAlignment="1" applyProtection="1">
      <alignment/>
      <protection hidden="1"/>
    </xf>
    <xf numFmtId="0" fontId="12" fillId="0" borderId="0" xfId="46" applyFont="1" applyBorder="1" applyAlignment="1" applyProtection="1">
      <alignment horizontal="left"/>
      <protection hidden="1"/>
    </xf>
    <xf numFmtId="0" fontId="9" fillId="0" borderId="13" xfId="46" applyFont="1" applyBorder="1" applyAlignment="1" applyProtection="1">
      <alignment horizontal="center"/>
      <protection hidden="1"/>
    </xf>
    <xf numFmtId="0" fontId="11" fillId="0" borderId="0" xfId="46" applyFont="1" applyBorder="1" applyProtection="1">
      <alignment/>
      <protection hidden="1"/>
    </xf>
    <xf numFmtId="0" fontId="11" fillId="0" borderId="12" xfId="46" applyFont="1" applyBorder="1" applyProtection="1">
      <alignment/>
      <protection hidden="1"/>
    </xf>
    <xf numFmtId="174" fontId="11" fillId="0" borderId="0" xfId="46" applyNumberFormat="1" applyFont="1" applyBorder="1" applyProtection="1">
      <alignment/>
      <protection hidden="1"/>
    </xf>
    <xf numFmtId="174" fontId="11" fillId="0" borderId="14" xfId="46" applyNumberFormat="1" applyFont="1" applyBorder="1" applyProtection="1">
      <alignment/>
      <protection hidden="1"/>
    </xf>
    <xf numFmtId="0" fontId="11" fillId="0" borderId="15" xfId="46" applyFont="1" applyBorder="1" applyAlignment="1" applyProtection="1">
      <alignment horizontal="center"/>
      <protection hidden="1"/>
    </xf>
    <xf numFmtId="0" fontId="11" fillId="0" borderId="16" xfId="46" applyFont="1" applyBorder="1" applyProtection="1">
      <alignment/>
      <protection hidden="1"/>
    </xf>
    <xf numFmtId="0" fontId="11" fillId="0" borderId="17" xfId="46" applyFont="1" applyBorder="1" applyAlignment="1" applyProtection="1">
      <alignment horizontal="center"/>
      <protection hidden="1"/>
    </xf>
    <xf numFmtId="3" fontId="11" fillId="0" borderId="16" xfId="46" applyNumberFormat="1" applyFont="1" applyBorder="1" applyProtection="1">
      <alignment/>
      <protection hidden="1"/>
    </xf>
    <xf numFmtId="3" fontId="11" fillId="0" borderId="18" xfId="46" applyNumberFormat="1" applyFont="1" applyBorder="1" applyProtection="1">
      <alignment/>
      <protection hidden="1"/>
    </xf>
    <xf numFmtId="0" fontId="11" fillId="0" borderId="11" xfId="46" applyFont="1" applyBorder="1" applyAlignment="1" applyProtection="1">
      <alignment horizontal="left" vertical="center" wrapText="1"/>
      <protection hidden="1"/>
    </xf>
    <xf numFmtId="0" fontId="11" fillId="0" borderId="0" xfId="46" applyFont="1" applyBorder="1" applyAlignment="1" applyProtection="1">
      <alignment horizontal="left" vertical="center" wrapText="1"/>
      <protection hidden="1"/>
    </xf>
    <xf numFmtId="0" fontId="11" fillId="0" borderId="14" xfId="46" applyFont="1" applyBorder="1" applyAlignment="1" applyProtection="1">
      <alignment horizontal="left" vertical="center" wrapText="1"/>
      <protection hidden="1"/>
    </xf>
    <xf numFmtId="0" fontId="10" fillId="0" borderId="0" xfId="46" applyFont="1" applyBorder="1" applyAlignment="1" applyProtection="1">
      <alignment horizontal="left" vertical="center" wrapText="1"/>
      <protection hidden="1"/>
    </xf>
    <xf numFmtId="0" fontId="7" fillId="0" borderId="11" xfId="46" applyFont="1" applyBorder="1" applyProtection="1">
      <alignment/>
      <protection hidden="1"/>
    </xf>
    <xf numFmtId="0" fontId="7" fillId="0" borderId="0" xfId="46" applyFont="1" applyBorder="1" applyProtection="1">
      <alignment/>
      <protection hidden="1"/>
    </xf>
    <xf numFmtId="0" fontId="9" fillId="0" borderId="14" xfId="46" applyFont="1" applyBorder="1" applyAlignment="1" applyProtection="1">
      <alignment/>
      <protection hidden="1"/>
    </xf>
    <xf numFmtId="0" fontId="12" fillId="0" borderId="19" xfId="46" applyFont="1" applyBorder="1" applyAlignment="1" applyProtection="1">
      <alignment horizontal="right"/>
      <protection hidden="1"/>
    </xf>
    <xf numFmtId="0" fontId="11" fillId="0" borderId="20" xfId="46" applyFont="1" applyBorder="1" applyAlignment="1" applyProtection="1">
      <alignment horizontal="left"/>
      <protection hidden="1"/>
    </xf>
    <xf numFmtId="0" fontId="11" fillId="0" borderId="20" xfId="46" applyFont="1" applyBorder="1" applyProtection="1">
      <alignment/>
      <protection hidden="1"/>
    </xf>
    <xf numFmtId="0" fontId="11" fillId="0" borderId="20" xfId="46" applyFont="1" applyBorder="1" applyAlignment="1" applyProtection="1">
      <alignment horizontal="center"/>
      <protection hidden="1"/>
    </xf>
    <xf numFmtId="3" fontId="11" fillId="0" borderId="20" xfId="46" applyNumberFormat="1" applyFont="1" applyBorder="1" applyProtection="1">
      <alignment/>
      <protection hidden="1"/>
    </xf>
    <xf numFmtId="3" fontId="11" fillId="0" borderId="21" xfId="46" applyNumberFormat="1" applyFont="1" applyBorder="1" applyProtection="1">
      <alignment/>
      <protection hidden="1"/>
    </xf>
    <xf numFmtId="0" fontId="15" fillId="0" borderId="0" xfId="46" applyFont="1">
      <alignment/>
      <protection/>
    </xf>
    <xf numFmtId="0" fontId="14" fillId="0" borderId="11" xfId="46" applyFont="1" applyBorder="1" applyAlignment="1" applyProtection="1">
      <alignment horizontal="center" vertical="center"/>
      <protection hidden="1"/>
    </xf>
    <xf numFmtId="0" fontId="14" fillId="0" borderId="12" xfId="46" applyFont="1" applyBorder="1" applyAlignment="1" applyProtection="1">
      <alignment vertical="center"/>
      <protection hidden="1"/>
    </xf>
    <xf numFmtId="0" fontId="27" fillId="0" borderId="0" xfId="46" applyFont="1" applyBorder="1" applyAlignment="1" applyProtection="1">
      <alignment vertical="center"/>
      <protection hidden="1"/>
    </xf>
    <xf numFmtId="0" fontId="27" fillId="0" borderId="22" xfId="46" applyFont="1" applyBorder="1" applyAlignment="1" applyProtection="1">
      <alignment vertical="center"/>
      <protection hidden="1"/>
    </xf>
    <xf numFmtId="3" fontId="27" fillId="0" borderId="0" xfId="46" applyNumberFormat="1" applyFont="1" applyBorder="1" applyAlignment="1" applyProtection="1">
      <alignment vertical="center"/>
      <protection hidden="1"/>
    </xf>
    <xf numFmtId="3" fontId="27" fillId="0" borderId="10" xfId="46" applyNumberFormat="1" applyFont="1" applyBorder="1" applyAlignment="1" applyProtection="1">
      <alignment vertical="center"/>
      <protection hidden="1"/>
    </xf>
    <xf numFmtId="174" fontId="27" fillId="0" borderId="14" xfId="46" applyNumberFormat="1" applyFont="1" applyBorder="1" applyAlignment="1" applyProtection="1">
      <alignment vertical="center"/>
      <protection hidden="1"/>
    </xf>
    <xf numFmtId="0" fontId="20" fillId="0" borderId="12" xfId="46" applyFont="1" applyBorder="1" applyAlignment="1" applyProtection="1">
      <alignment vertical="center"/>
      <protection hidden="1"/>
    </xf>
    <xf numFmtId="0" fontId="20" fillId="0" borderId="0" xfId="46" applyFont="1" applyBorder="1" applyAlignment="1" applyProtection="1">
      <alignment vertical="center"/>
      <protection hidden="1"/>
    </xf>
    <xf numFmtId="0" fontId="27" fillId="0" borderId="23" xfId="46" applyFont="1" applyBorder="1" applyAlignment="1" applyProtection="1">
      <alignment vertical="center"/>
      <protection hidden="1"/>
    </xf>
    <xf numFmtId="3" fontId="28" fillId="0" borderId="0" xfId="46" applyNumberFormat="1" applyFont="1" applyBorder="1" applyAlignment="1" applyProtection="1">
      <alignment vertical="center"/>
      <protection hidden="1"/>
    </xf>
    <xf numFmtId="0" fontId="27" fillId="0" borderId="24" xfId="46" applyFont="1" applyBorder="1" applyAlignment="1" applyProtection="1">
      <alignment vertical="center"/>
      <protection hidden="1"/>
    </xf>
    <xf numFmtId="0" fontId="27" fillId="0" borderId="25" xfId="46" applyFont="1" applyBorder="1" applyAlignment="1" applyProtection="1">
      <alignment vertical="center"/>
      <protection hidden="1"/>
    </xf>
    <xf numFmtId="0" fontId="5" fillId="0" borderId="0" xfId="46" applyFont="1" applyBorder="1" applyAlignment="1" applyProtection="1">
      <alignment horizontal="left" vertical="center"/>
      <protection hidden="1"/>
    </xf>
    <xf numFmtId="0" fontId="27" fillId="0" borderId="12" xfId="46" applyFont="1" applyBorder="1" applyAlignment="1" applyProtection="1">
      <alignment vertical="center"/>
      <protection hidden="1"/>
    </xf>
    <xf numFmtId="3" fontId="27" fillId="0" borderId="12" xfId="46" applyNumberFormat="1" applyFont="1" applyBorder="1" applyAlignment="1" applyProtection="1">
      <alignment vertical="center"/>
      <protection hidden="1"/>
    </xf>
    <xf numFmtId="0" fontId="19" fillId="0" borderId="0" xfId="46" applyFont="1" applyBorder="1" applyProtection="1">
      <alignment/>
      <protection hidden="1"/>
    </xf>
    <xf numFmtId="174" fontId="20" fillId="0" borderId="26" xfId="46" applyNumberFormat="1" applyFont="1" applyBorder="1" applyAlignment="1" applyProtection="1">
      <alignment vertical="center"/>
      <protection hidden="1"/>
    </xf>
    <xf numFmtId="3" fontId="27" fillId="0" borderId="17" xfId="46" applyNumberFormat="1" applyFont="1" applyBorder="1" applyAlignment="1" applyProtection="1">
      <alignment vertical="center"/>
      <protection hidden="1"/>
    </xf>
    <xf numFmtId="0" fontId="15" fillId="0" borderId="0" xfId="46" applyFont="1" applyBorder="1" applyProtection="1">
      <alignment/>
      <protection hidden="1"/>
    </xf>
    <xf numFmtId="174" fontId="28" fillId="0" borderId="14" xfId="46" applyNumberFormat="1" applyFont="1" applyBorder="1" applyAlignment="1" applyProtection="1">
      <alignment vertical="center"/>
      <protection hidden="1"/>
    </xf>
    <xf numFmtId="0" fontId="28" fillId="0" borderId="12" xfId="46" applyFont="1" applyBorder="1" applyAlignment="1" applyProtection="1">
      <alignment vertical="center"/>
      <protection hidden="1"/>
    </xf>
    <xf numFmtId="174" fontId="28" fillId="0" borderId="10" xfId="46" applyNumberFormat="1" applyFont="1" applyBorder="1" applyAlignment="1" applyProtection="1">
      <alignment vertical="center"/>
      <protection hidden="1"/>
    </xf>
    <xf numFmtId="174" fontId="27" fillId="0" borderId="10" xfId="46" applyNumberFormat="1" applyFont="1" applyBorder="1" applyAlignment="1" applyProtection="1">
      <alignment vertical="center"/>
      <protection hidden="1"/>
    </xf>
    <xf numFmtId="3" fontId="27" fillId="0" borderId="27" xfId="46" applyNumberFormat="1" applyFont="1" applyBorder="1" applyAlignment="1" applyProtection="1">
      <alignment vertical="center"/>
      <protection hidden="1"/>
    </xf>
    <xf numFmtId="3" fontId="27" fillId="0" borderId="23" xfId="46" applyNumberFormat="1" applyFont="1" applyBorder="1" applyAlignment="1" applyProtection="1">
      <alignment vertical="center"/>
      <protection hidden="1"/>
    </xf>
    <xf numFmtId="174" fontId="27" fillId="0" borderId="28" xfId="46" applyNumberFormat="1" applyFont="1" applyBorder="1" applyAlignment="1" applyProtection="1">
      <alignment vertical="center"/>
      <protection hidden="1"/>
    </xf>
    <xf numFmtId="3" fontId="27" fillId="0" borderId="25" xfId="46" applyNumberFormat="1" applyFont="1" applyBorder="1" applyAlignment="1" applyProtection="1">
      <alignment vertical="center"/>
      <protection hidden="1"/>
    </xf>
    <xf numFmtId="0" fontId="22" fillId="0" borderId="0" xfId="46" applyFont="1" applyBorder="1" applyAlignment="1" applyProtection="1">
      <alignment vertical="center"/>
      <protection hidden="1"/>
    </xf>
    <xf numFmtId="0" fontId="5" fillId="0" borderId="11" xfId="46" applyFont="1" applyBorder="1" applyAlignment="1" applyProtection="1">
      <alignment horizontal="right" vertical="center"/>
      <protection hidden="1"/>
    </xf>
    <xf numFmtId="0" fontId="14" fillId="0" borderId="0" xfId="46" applyFont="1" applyBorder="1" applyAlignment="1" applyProtection="1">
      <alignment vertical="center"/>
      <protection hidden="1"/>
    </xf>
    <xf numFmtId="0" fontId="28" fillId="0" borderId="0" xfId="46" applyFont="1" applyBorder="1" applyAlignment="1" applyProtection="1">
      <alignment vertical="center"/>
      <protection hidden="1"/>
    </xf>
    <xf numFmtId="0" fontId="5" fillId="0" borderId="12" xfId="46" applyFont="1" applyBorder="1" applyAlignment="1" applyProtection="1">
      <alignment vertical="center"/>
      <protection hidden="1"/>
    </xf>
    <xf numFmtId="3" fontId="20" fillId="0" borderId="23" xfId="46" applyNumberFormat="1" applyFont="1" applyBorder="1" applyAlignment="1" applyProtection="1">
      <alignment vertical="center"/>
      <protection hidden="1"/>
    </xf>
    <xf numFmtId="174" fontId="19" fillId="0" borderId="29" xfId="46" applyNumberFormat="1" applyFont="1" applyBorder="1" applyAlignment="1" applyProtection="1">
      <alignment vertical="center"/>
      <protection hidden="1"/>
    </xf>
    <xf numFmtId="3" fontId="6" fillId="0" borderId="12" xfId="46" applyNumberFormat="1" applyFont="1" applyBorder="1" applyAlignment="1" applyProtection="1">
      <alignment horizontal="right" vertical="center"/>
      <protection hidden="1"/>
    </xf>
    <xf numFmtId="174" fontId="19" fillId="0" borderId="10" xfId="46" applyNumberFormat="1" applyFont="1" applyBorder="1" applyAlignment="1" applyProtection="1">
      <alignment vertical="center"/>
      <protection hidden="1"/>
    </xf>
    <xf numFmtId="174" fontId="20" fillId="0" borderId="16" xfId="46" applyNumberFormat="1" applyFont="1" applyBorder="1" applyAlignment="1" applyProtection="1">
      <alignment vertical="center"/>
      <protection hidden="1"/>
    </xf>
    <xf numFmtId="3" fontId="20" fillId="0" borderId="17" xfId="46" applyNumberFormat="1" applyFont="1" applyBorder="1" applyAlignment="1" applyProtection="1">
      <alignment vertical="center"/>
      <protection hidden="1"/>
    </xf>
    <xf numFmtId="3" fontId="30" fillId="0" borderId="0" xfId="46" applyNumberFormat="1" applyFont="1" applyBorder="1" applyAlignment="1" applyProtection="1">
      <alignment vertical="center"/>
      <protection hidden="1"/>
    </xf>
    <xf numFmtId="174" fontId="27" fillId="0" borderId="0" xfId="46" applyNumberFormat="1" applyFont="1" applyBorder="1" applyAlignment="1" applyProtection="1">
      <alignment vertical="center"/>
      <protection hidden="1"/>
    </xf>
    <xf numFmtId="0" fontId="3" fillId="0" borderId="19" xfId="46" applyFont="1" applyBorder="1" applyAlignment="1" applyProtection="1">
      <alignment vertical="center"/>
      <protection hidden="1"/>
    </xf>
    <xf numFmtId="0" fontId="20" fillId="0" borderId="30" xfId="46" applyFont="1" applyBorder="1" applyAlignment="1" applyProtection="1">
      <alignment vertical="center"/>
      <protection hidden="1"/>
    </xf>
    <xf numFmtId="0" fontId="20" fillId="0" borderId="20" xfId="46" applyFont="1" applyBorder="1" applyAlignment="1" applyProtection="1">
      <alignment vertical="center"/>
      <protection hidden="1"/>
    </xf>
    <xf numFmtId="0" fontId="14" fillId="0" borderId="31" xfId="46" applyFont="1" applyBorder="1" applyAlignment="1" applyProtection="1">
      <alignment horizontal="right"/>
      <protection hidden="1"/>
    </xf>
    <xf numFmtId="0" fontId="14" fillId="0" borderId="13" xfId="46" applyFont="1" applyBorder="1" applyAlignment="1" applyProtection="1">
      <alignment horizontal="center"/>
      <protection hidden="1"/>
    </xf>
    <xf numFmtId="0" fontId="28" fillId="0" borderId="0" xfId="46" applyFont="1" applyBorder="1" applyProtection="1">
      <alignment/>
      <protection hidden="1"/>
    </xf>
    <xf numFmtId="0" fontId="25" fillId="0" borderId="13" xfId="46" applyFont="1" applyBorder="1" applyProtection="1">
      <alignment/>
      <protection hidden="1"/>
    </xf>
    <xf numFmtId="0" fontId="27" fillId="0" borderId="0" xfId="46" applyFont="1" applyBorder="1" applyAlignment="1" applyProtection="1">
      <alignment/>
      <protection hidden="1"/>
    </xf>
    <xf numFmtId="0" fontId="22" fillId="0" borderId="32" xfId="46" applyFont="1" applyBorder="1" applyAlignment="1" applyProtection="1">
      <alignment vertical="center"/>
      <protection hidden="1"/>
    </xf>
    <xf numFmtId="0" fontId="28" fillId="0" borderId="33" xfId="46" applyFont="1" applyBorder="1" applyProtection="1">
      <alignment/>
      <protection hidden="1"/>
    </xf>
    <xf numFmtId="0" fontId="22" fillId="0" borderId="32" xfId="46" applyFont="1" applyBorder="1" applyProtection="1">
      <alignment/>
      <protection hidden="1"/>
    </xf>
    <xf numFmtId="0" fontId="5" fillId="0" borderId="13" xfId="46" applyFont="1" applyBorder="1" applyAlignment="1" applyProtection="1">
      <alignment horizontal="center"/>
      <protection hidden="1"/>
    </xf>
    <xf numFmtId="0" fontId="25" fillId="0" borderId="0" xfId="46" applyFont="1" applyBorder="1" applyProtection="1">
      <alignment/>
      <protection hidden="1"/>
    </xf>
    <xf numFmtId="174" fontId="5" fillId="0" borderId="14" xfId="46" applyNumberFormat="1" applyFont="1" applyBorder="1" applyProtection="1">
      <alignment/>
      <protection hidden="1"/>
    </xf>
    <xf numFmtId="0" fontId="22" fillId="0" borderId="0" xfId="46" applyFont="1" applyBorder="1" applyProtection="1">
      <alignment/>
      <protection hidden="1"/>
    </xf>
    <xf numFmtId="0" fontId="22" fillId="0" borderId="34" xfId="46" applyFont="1" applyBorder="1" applyProtection="1">
      <alignment/>
      <protection hidden="1"/>
    </xf>
    <xf numFmtId="0" fontId="5" fillId="0" borderId="15" xfId="46" applyFont="1" applyBorder="1" applyAlignment="1" applyProtection="1">
      <alignment horizontal="center" vertical="center"/>
      <protection hidden="1"/>
    </xf>
    <xf numFmtId="0" fontId="28" fillId="0" borderId="16" xfId="46" applyFont="1" applyBorder="1" applyAlignment="1" applyProtection="1">
      <alignment vertical="center"/>
      <protection hidden="1"/>
    </xf>
    <xf numFmtId="0" fontId="28" fillId="0" borderId="35" xfId="46" applyFont="1" applyBorder="1" applyAlignment="1" applyProtection="1">
      <alignment vertical="center"/>
      <protection hidden="1"/>
    </xf>
    <xf numFmtId="0" fontId="22" fillId="0" borderId="16" xfId="46" applyFont="1" applyBorder="1" applyAlignment="1" applyProtection="1">
      <alignment vertical="center"/>
      <protection hidden="1"/>
    </xf>
    <xf numFmtId="0" fontId="28" fillId="0" borderId="11" xfId="46" applyFont="1" applyBorder="1" applyProtection="1">
      <alignment/>
      <protection hidden="1"/>
    </xf>
    <xf numFmtId="0" fontId="28" fillId="0" borderId="14" xfId="46" applyFont="1" applyBorder="1" applyProtection="1">
      <alignment/>
      <protection hidden="1"/>
    </xf>
    <xf numFmtId="0" fontId="28" fillId="0" borderId="11" xfId="46" applyFont="1" applyBorder="1" applyAlignment="1" applyProtection="1">
      <alignment horizontal="left"/>
      <protection hidden="1"/>
    </xf>
    <xf numFmtId="0" fontId="28" fillId="0" borderId="0" xfId="46" applyFont="1" applyBorder="1" applyAlignment="1" applyProtection="1">
      <alignment horizontal="left"/>
      <protection hidden="1"/>
    </xf>
    <xf numFmtId="0" fontId="28" fillId="0" borderId="14" xfId="46" applyFont="1" applyBorder="1" applyAlignment="1" applyProtection="1">
      <alignment horizontal="left"/>
      <protection hidden="1"/>
    </xf>
    <xf numFmtId="0" fontId="25" fillId="0" borderId="11" xfId="46" applyFont="1" applyBorder="1" applyProtection="1">
      <alignment/>
      <protection hidden="1"/>
    </xf>
    <xf numFmtId="0" fontId="25" fillId="0" borderId="14" xfId="46" applyFont="1" applyBorder="1" applyProtection="1">
      <alignment/>
      <protection hidden="1"/>
    </xf>
    <xf numFmtId="0" fontId="25" fillId="0" borderId="14" xfId="46" applyFont="1" applyBorder="1" applyAlignment="1" applyProtection="1">
      <alignment/>
      <protection hidden="1"/>
    </xf>
    <xf numFmtId="0" fontId="31" fillId="0" borderId="0" xfId="46" applyFont="1" applyBorder="1" applyAlignment="1" applyProtection="1">
      <alignment horizontal="left"/>
      <protection hidden="1"/>
    </xf>
    <xf numFmtId="0" fontId="25" fillId="0" borderId="14" xfId="46" applyFont="1" applyBorder="1" applyAlignment="1" applyProtection="1">
      <alignment horizontal="left"/>
      <protection hidden="1"/>
    </xf>
    <xf numFmtId="49" fontId="25" fillId="0" borderId="0" xfId="46" applyNumberFormat="1" applyFont="1" applyBorder="1" applyAlignment="1" applyProtection="1">
      <alignment horizontal="left"/>
      <protection hidden="1"/>
    </xf>
    <xf numFmtId="0" fontId="28" fillId="0" borderId="19" xfId="46" applyFont="1" applyBorder="1" applyProtection="1">
      <alignment/>
      <protection hidden="1"/>
    </xf>
    <xf numFmtId="0" fontId="28" fillId="0" borderId="20" xfId="46" applyFont="1" applyBorder="1" applyProtection="1">
      <alignment/>
      <protection hidden="1"/>
    </xf>
    <xf numFmtId="0" fontId="28" fillId="0" borderId="21" xfId="46" applyFont="1" applyBorder="1" applyProtection="1">
      <alignment/>
      <protection hidden="1"/>
    </xf>
    <xf numFmtId="0" fontId="1" fillId="33" borderId="0" xfId="46" applyFill="1" applyProtection="1">
      <alignment/>
      <protection locked="0"/>
    </xf>
    <xf numFmtId="175" fontId="1" fillId="0" borderId="0" xfId="46" applyNumberFormat="1">
      <alignment/>
      <protection/>
    </xf>
    <xf numFmtId="0" fontId="1" fillId="0" borderId="0" xfId="46" applyProtection="1">
      <alignment/>
      <protection locked="0"/>
    </xf>
    <xf numFmtId="0" fontId="1" fillId="0" borderId="0" xfId="46" applyBorder="1" applyAlignment="1">
      <alignment vertical="center"/>
      <protection/>
    </xf>
    <xf numFmtId="0" fontId="17" fillId="0" borderId="0" xfId="46" applyFont="1" applyBorder="1" applyAlignment="1">
      <alignment vertical="center"/>
      <protection/>
    </xf>
    <xf numFmtId="0" fontId="17" fillId="0" borderId="0" xfId="46" applyFont="1" applyBorder="1" applyAlignment="1">
      <alignment horizontal="right" vertical="center"/>
      <protection/>
    </xf>
    <xf numFmtId="0" fontId="1" fillId="0" borderId="0" xfId="46" applyBorder="1" applyAlignment="1">
      <alignment horizontal="center"/>
      <protection/>
    </xf>
    <xf numFmtId="0" fontId="19" fillId="0" borderId="0" xfId="46" applyFont="1" applyBorder="1" applyAlignment="1" applyProtection="1">
      <alignment horizontal="left"/>
      <protection hidden="1"/>
    </xf>
    <xf numFmtId="0" fontId="1" fillId="0" borderId="0" xfId="46" applyAlignment="1">
      <alignment wrapText="1"/>
      <protection/>
    </xf>
    <xf numFmtId="0" fontId="17" fillId="0" borderId="0" xfId="46" applyFont="1" applyBorder="1" applyAlignment="1" applyProtection="1">
      <alignment vertical="center" wrapText="1"/>
      <protection locked="0"/>
    </xf>
    <xf numFmtId="0" fontId="1" fillId="0" borderId="36" xfId="46" applyBorder="1" applyAlignment="1">
      <alignment vertical="center"/>
      <protection/>
    </xf>
    <xf numFmtId="0" fontId="1" fillId="0" borderId="37" xfId="46" applyBorder="1" applyAlignment="1">
      <alignment vertical="center"/>
      <protection/>
    </xf>
    <xf numFmtId="0" fontId="1" fillId="0" borderId="37" xfId="46" applyBorder="1">
      <alignment/>
      <protection/>
    </xf>
    <xf numFmtId="0" fontId="1" fillId="0" borderId="38" xfId="46" applyBorder="1">
      <alignment/>
      <protection/>
    </xf>
    <xf numFmtId="0" fontId="1" fillId="0" borderId="39" xfId="46" applyBorder="1" applyAlignment="1">
      <alignment vertical="center"/>
      <protection/>
    </xf>
    <xf numFmtId="0" fontId="1" fillId="0" borderId="40" xfId="46" applyBorder="1">
      <alignment/>
      <protection/>
    </xf>
    <xf numFmtId="0" fontId="17" fillId="0" borderId="40" xfId="46" applyFont="1" applyBorder="1" applyAlignment="1" applyProtection="1">
      <alignment vertical="center" wrapText="1"/>
      <protection locked="0"/>
    </xf>
    <xf numFmtId="0" fontId="1" fillId="0" borderId="39" xfId="46" applyBorder="1">
      <alignment/>
      <protection/>
    </xf>
    <xf numFmtId="0" fontId="1" fillId="0" borderId="41" xfId="46" applyBorder="1" applyAlignment="1">
      <alignment vertical="center"/>
      <protection/>
    </xf>
    <xf numFmtId="0" fontId="1" fillId="0" borderId="42" xfId="46" applyBorder="1" applyAlignment="1">
      <alignment vertical="center"/>
      <protection/>
    </xf>
    <xf numFmtId="0" fontId="1" fillId="0" borderId="42" xfId="46" applyBorder="1">
      <alignment/>
      <protection/>
    </xf>
    <xf numFmtId="0" fontId="1" fillId="0" borderId="43" xfId="46" applyBorder="1">
      <alignment/>
      <protection/>
    </xf>
    <xf numFmtId="0" fontId="35" fillId="0" borderId="0" xfId="46" applyFont="1" applyAlignment="1">
      <alignment vertical="center"/>
      <protection/>
    </xf>
    <xf numFmtId="0" fontId="1" fillId="12" borderId="0" xfId="46" applyFill="1" applyBorder="1" applyAlignment="1">
      <alignment vertical="center"/>
      <protection/>
    </xf>
    <xf numFmtId="0" fontId="1" fillId="12" borderId="0" xfId="46" applyFill="1" applyBorder="1">
      <alignment/>
      <protection/>
    </xf>
    <xf numFmtId="0" fontId="1" fillId="12" borderId="44" xfId="46" applyFill="1" applyBorder="1">
      <alignment/>
      <protection/>
    </xf>
    <xf numFmtId="0" fontId="1" fillId="12" borderId="45" xfId="46" applyFill="1" applyBorder="1" applyAlignment="1">
      <alignment vertical="center"/>
      <protection/>
    </xf>
    <xf numFmtId="0" fontId="1" fillId="12" borderId="45" xfId="46" applyFill="1" applyBorder="1">
      <alignment/>
      <protection/>
    </xf>
    <xf numFmtId="0" fontId="1" fillId="12" borderId="46" xfId="46" applyFill="1" applyBorder="1">
      <alignment/>
      <protection/>
    </xf>
    <xf numFmtId="0" fontId="1" fillId="12" borderId="47" xfId="46" applyFill="1" applyBorder="1">
      <alignment/>
      <protection/>
    </xf>
    <xf numFmtId="0" fontId="1" fillId="12" borderId="48" xfId="46" applyFill="1" applyBorder="1">
      <alignment/>
      <protection/>
    </xf>
    <xf numFmtId="0" fontId="1" fillId="12" borderId="49" xfId="46" applyFill="1" applyBorder="1">
      <alignment/>
      <protection/>
    </xf>
    <xf numFmtId="0" fontId="1" fillId="12" borderId="50" xfId="46" applyFill="1" applyBorder="1">
      <alignment/>
      <protection/>
    </xf>
    <xf numFmtId="0" fontId="1" fillId="12" borderId="51" xfId="46" applyFill="1" applyBorder="1">
      <alignment/>
      <protection/>
    </xf>
    <xf numFmtId="174" fontId="19" fillId="0" borderId="52" xfId="46" applyNumberFormat="1" applyFont="1" applyBorder="1" applyAlignment="1" applyProtection="1">
      <alignment vertical="center"/>
      <protection hidden="1"/>
    </xf>
    <xf numFmtId="0" fontId="13" fillId="0" borderId="0" xfId="46" applyFont="1">
      <alignment/>
      <protection/>
    </xf>
    <xf numFmtId="0" fontId="15" fillId="0" borderId="53" xfId="46" applyFont="1" applyBorder="1" applyAlignment="1" applyProtection="1">
      <alignment horizontal="center" vertical="center"/>
      <protection hidden="1"/>
    </xf>
    <xf numFmtId="0" fontId="15" fillId="0" borderId="53" xfId="46" applyFont="1" applyBorder="1" applyAlignment="1" applyProtection="1">
      <alignment horizontal="center" vertical="center"/>
      <protection hidden="1" locked="0"/>
    </xf>
    <xf numFmtId="0" fontId="15" fillId="0" borderId="0" xfId="46" applyFont="1" applyProtection="1">
      <alignment/>
      <protection hidden="1"/>
    </xf>
    <xf numFmtId="0" fontId="22" fillId="0" borderId="0" xfId="46" applyFont="1" applyProtection="1">
      <alignment/>
      <protection hidden="1"/>
    </xf>
    <xf numFmtId="0" fontId="3" fillId="0" borderId="0" xfId="46" applyFont="1" applyAlignment="1" applyProtection="1">
      <alignment vertical="center"/>
      <protection hidden="1"/>
    </xf>
    <xf numFmtId="0" fontId="38" fillId="0" borderId="0" xfId="0" applyFont="1" applyAlignment="1">
      <alignment horizontal="center"/>
    </xf>
    <xf numFmtId="0" fontId="39" fillId="0" borderId="0" xfId="0" applyFont="1" applyAlignment="1">
      <alignment/>
    </xf>
    <xf numFmtId="0" fontId="39" fillId="0" borderId="0" xfId="0" applyFont="1" applyAlignment="1">
      <alignment horizontal="left"/>
    </xf>
    <xf numFmtId="0" fontId="39" fillId="0" borderId="0" xfId="0" applyFont="1" applyAlignment="1">
      <alignment/>
    </xf>
    <xf numFmtId="0" fontId="32" fillId="0" borderId="0" xfId="0" applyFont="1" applyAlignment="1">
      <alignment/>
    </xf>
    <xf numFmtId="0" fontId="23" fillId="0" borderId="0" xfId="0" applyFont="1" applyAlignment="1">
      <alignment/>
    </xf>
    <xf numFmtId="0" fontId="5" fillId="0" borderId="0" xfId="0" applyFont="1" applyAlignment="1">
      <alignment/>
    </xf>
    <xf numFmtId="0" fontId="41" fillId="0" borderId="0" xfId="0" applyFont="1" applyAlignment="1">
      <alignment horizontal="center"/>
    </xf>
    <xf numFmtId="0" fontId="41" fillId="0" borderId="0" xfId="0" applyFont="1" applyAlignment="1">
      <alignment/>
    </xf>
    <xf numFmtId="0" fontId="41" fillId="0" borderId="0" xfId="0" applyFont="1" applyAlignment="1">
      <alignment/>
    </xf>
    <xf numFmtId="0" fontId="41" fillId="0" borderId="0" xfId="0" applyFont="1" applyAlignment="1">
      <alignment horizontal="left"/>
    </xf>
    <xf numFmtId="0" fontId="1" fillId="34" borderId="54" xfId="46" applyFill="1" applyBorder="1" applyAlignment="1">
      <alignment horizontal="left" vertical="center"/>
      <protection/>
    </xf>
    <xf numFmtId="0" fontId="1" fillId="34" borderId="55" xfId="46" applyFill="1" applyBorder="1" applyAlignment="1">
      <alignment horizontal="left" vertical="center"/>
      <protection/>
    </xf>
    <xf numFmtId="0" fontId="3" fillId="0" borderId="0" xfId="46" applyFont="1">
      <alignment/>
      <protection/>
    </xf>
    <xf numFmtId="0" fontId="43" fillId="16" borderId="0" xfId="46" applyFont="1" applyFill="1" applyBorder="1" applyAlignment="1">
      <alignment vertical="center"/>
      <protection/>
    </xf>
    <xf numFmtId="0" fontId="5" fillId="0" borderId="0" xfId="46" applyFont="1" applyFill="1" applyBorder="1" applyAlignment="1">
      <alignment vertical="center" wrapText="1"/>
      <protection/>
    </xf>
    <xf numFmtId="0" fontId="43" fillId="0" borderId="0" xfId="46" applyFont="1" applyFill="1" applyBorder="1" applyAlignment="1">
      <alignment horizontal="center" vertical="center"/>
      <protection/>
    </xf>
    <xf numFmtId="0" fontId="3" fillId="0" borderId="0" xfId="46" applyFont="1" applyFill="1" applyBorder="1" applyAlignment="1">
      <alignment/>
      <protection/>
    </xf>
    <xf numFmtId="0" fontId="3" fillId="0" borderId="56" xfId="46" applyFont="1" applyBorder="1" applyAlignment="1" applyProtection="1">
      <alignment horizontal="center" vertical="center"/>
      <protection hidden="1" locked="0"/>
    </xf>
    <xf numFmtId="0" fontId="3" fillId="35" borderId="0" xfId="46" applyFont="1" applyFill="1" applyBorder="1" applyAlignment="1" applyProtection="1">
      <alignment horizontal="center" vertical="center"/>
      <protection hidden="1"/>
    </xf>
    <xf numFmtId="0" fontId="3" fillId="36" borderId="0" xfId="46" applyFont="1" applyFill="1" applyBorder="1" applyAlignment="1" applyProtection="1">
      <alignment horizontal="center" vertical="center"/>
      <protection hidden="1"/>
    </xf>
    <xf numFmtId="0" fontId="3" fillId="0" borderId="57" xfId="46" applyFont="1" applyBorder="1" applyAlignment="1" applyProtection="1">
      <alignment horizontal="center" vertical="center"/>
      <protection hidden="1" locked="0"/>
    </xf>
    <xf numFmtId="172" fontId="14" fillId="0" borderId="56" xfId="46" applyNumberFormat="1" applyFont="1" applyBorder="1" applyAlignment="1" applyProtection="1">
      <alignment horizontal="center" vertical="center"/>
      <protection hidden="1" locked="0"/>
    </xf>
    <xf numFmtId="0" fontId="3" fillId="0" borderId="58" xfId="46" applyFont="1" applyBorder="1" applyAlignment="1" applyProtection="1">
      <alignment horizontal="center" vertical="center"/>
      <protection hidden="1" locked="0"/>
    </xf>
    <xf numFmtId="0" fontId="20" fillId="0" borderId="56" xfId="46" applyFont="1" applyBorder="1" applyAlignment="1" applyProtection="1">
      <alignment horizontal="center" vertical="center"/>
      <protection hidden="1" locked="0"/>
    </xf>
    <xf numFmtId="0" fontId="3" fillId="35" borderId="57" xfId="46" applyFont="1" applyFill="1" applyBorder="1" applyAlignment="1" applyProtection="1">
      <alignment horizontal="center" vertical="center"/>
      <protection hidden="1"/>
    </xf>
    <xf numFmtId="0" fontId="3" fillId="0" borderId="59" xfId="46" applyFont="1" applyBorder="1" applyAlignment="1" applyProtection="1">
      <alignment horizontal="center" vertical="center"/>
      <protection hidden="1" locked="0"/>
    </xf>
    <xf numFmtId="0" fontId="14" fillId="0" borderId="56" xfId="46" applyFont="1" applyBorder="1" applyProtection="1">
      <alignment/>
      <protection hidden="1" locked="0"/>
    </xf>
    <xf numFmtId="0" fontId="3" fillId="0" borderId="0" xfId="46" applyFont="1" applyAlignment="1">
      <alignment horizontal="center"/>
      <protection/>
    </xf>
    <xf numFmtId="0" fontId="3" fillId="0" borderId="0" xfId="46" applyFont="1" applyAlignment="1">
      <alignment horizontal="center" vertical="center"/>
      <protection/>
    </xf>
    <xf numFmtId="172" fontId="21" fillId="0" borderId="17" xfId="46" applyNumberFormat="1" applyFont="1" applyBorder="1" applyAlignment="1" applyProtection="1">
      <alignment horizontal="center" vertical="center"/>
      <protection hidden="1" locked="0"/>
    </xf>
    <xf numFmtId="172" fontId="21" fillId="0" borderId="60" xfId="46" applyNumberFormat="1" applyFont="1" applyBorder="1" applyAlignment="1" applyProtection="1">
      <alignment horizontal="center" vertical="center"/>
      <protection hidden="1" locked="0"/>
    </xf>
    <xf numFmtId="0" fontId="20" fillId="0" borderId="61" xfId="46" applyFont="1" applyBorder="1" applyAlignment="1" applyProtection="1">
      <alignment/>
      <protection hidden="1" locked="0"/>
    </xf>
    <xf numFmtId="0" fontId="20" fillId="0" borderId="62" xfId="46" applyFont="1" applyBorder="1" applyAlignment="1" applyProtection="1">
      <alignment/>
      <protection hidden="1" locked="0"/>
    </xf>
    <xf numFmtId="0" fontId="23" fillId="0" borderId="0" xfId="46" applyFont="1">
      <alignment/>
      <protection/>
    </xf>
    <xf numFmtId="0" fontId="3" fillId="0" borderId="60" xfId="46" applyFont="1" applyBorder="1">
      <alignment/>
      <protection/>
    </xf>
    <xf numFmtId="0" fontId="3" fillId="0" borderId="63" xfId="46" applyFont="1" applyBorder="1">
      <alignment/>
      <protection/>
    </xf>
    <xf numFmtId="0" fontId="3" fillId="0" borderId="12" xfId="46" applyFont="1" applyBorder="1">
      <alignment/>
      <protection/>
    </xf>
    <xf numFmtId="0" fontId="3" fillId="0" borderId="10" xfId="46" applyFont="1" applyBorder="1">
      <alignment/>
      <protection/>
    </xf>
    <xf numFmtId="0" fontId="3" fillId="0" borderId="0" xfId="46" applyFont="1" applyAlignment="1">
      <alignment horizontal="right" vertical="center"/>
      <protection/>
    </xf>
    <xf numFmtId="14" fontId="3" fillId="0" borderId="0" xfId="46" applyNumberFormat="1" applyFont="1">
      <alignment/>
      <protection/>
    </xf>
    <xf numFmtId="0" fontId="3" fillId="37" borderId="0" xfId="46" applyFont="1" applyFill="1" applyProtection="1">
      <alignment/>
      <protection locked="0"/>
    </xf>
    <xf numFmtId="172" fontId="3" fillId="37" borderId="0" xfId="46" applyNumberFormat="1" applyFont="1" applyFill="1">
      <alignment/>
      <protection/>
    </xf>
    <xf numFmtId="0" fontId="3" fillId="0" borderId="17" xfId="46" applyFont="1" applyBorder="1">
      <alignment/>
      <protection/>
    </xf>
    <xf numFmtId="0" fontId="3" fillId="0" borderId="64" xfId="46" applyFont="1" applyBorder="1">
      <alignment/>
      <protection/>
    </xf>
    <xf numFmtId="0" fontId="3" fillId="37" borderId="56" xfId="46" applyFont="1" applyFill="1" applyBorder="1" applyProtection="1">
      <alignment/>
      <protection locked="0"/>
    </xf>
    <xf numFmtId="172" fontId="3" fillId="37" borderId="65" xfId="46" applyNumberFormat="1" applyFont="1" applyFill="1" applyBorder="1">
      <alignment/>
      <protection/>
    </xf>
    <xf numFmtId="0" fontId="3" fillId="0" borderId="66" xfId="46" applyFont="1" applyBorder="1">
      <alignment/>
      <protection/>
    </xf>
    <xf numFmtId="0" fontId="3" fillId="33" borderId="12" xfId="46" applyFont="1" applyFill="1" applyBorder="1" applyProtection="1">
      <alignment/>
      <protection locked="0"/>
    </xf>
    <xf numFmtId="0" fontId="3" fillId="0" borderId="0" xfId="46" applyFont="1" applyBorder="1">
      <alignment/>
      <protection/>
    </xf>
    <xf numFmtId="0" fontId="3" fillId="33" borderId="0" xfId="46" applyFont="1" applyFill="1" applyBorder="1" applyProtection="1">
      <alignment/>
      <protection locked="0"/>
    </xf>
    <xf numFmtId="172" fontId="3" fillId="0" borderId="0" xfId="46" applyNumberFormat="1" applyFont="1" applyBorder="1">
      <alignment/>
      <protection/>
    </xf>
    <xf numFmtId="14" fontId="3" fillId="0" borderId="0" xfId="46" applyNumberFormat="1" applyFont="1" applyBorder="1">
      <alignment/>
      <protection/>
    </xf>
    <xf numFmtId="172" fontId="3" fillId="0" borderId="0" xfId="46" applyNumberFormat="1" applyFont="1">
      <alignment/>
      <protection/>
    </xf>
    <xf numFmtId="0" fontId="3" fillId="0" borderId="53" xfId="46" applyFont="1" applyBorder="1">
      <alignment/>
      <protection/>
    </xf>
    <xf numFmtId="0" fontId="23" fillId="38" borderId="53" xfId="46" applyFont="1" applyFill="1" applyBorder="1" applyAlignment="1" applyProtection="1">
      <alignment horizontal="center" wrapText="1"/>
      <protection hidden="1"/>
    </xf>
    <xf numFmtId="0" fontId="5" fillId="0" borderId="53" xfId="46" applyFont="1" applyBorder="1">
      <alignment/>
      <protection/>
    </xf>
    <xf numFmtId="0" fontId="3" fillId="33" borderId="17" xfId="46" applyFont="1" applyFill="1" applyBorder="1" applyProtection="1">
      <alignment/>
      <protection locked="0"/>
    </xf>
    <xf numFmtId="0" fontId="3" fillId="0" borderId="16" xfId="46" applyFont="1" applyBorder="1">
      <alignment/>
      <protection/>
    </xf>
    <xf numFmtId="0" fontId="3" fillId="33" borderId="16" xfId="46" applyFont="1" applyFill="1" applyBorder="1" applyProtection="1">
      <alignment/>
      <protection locked="0"/>
    </xf>
    <xf numFmtId="172" fontId="3" fillId="0" borderId="16" xfId="46" applyNumberFormat="1" applyFont="1" applyBorder="1">
      <alignment/>
      <protection/>
    </xf>
    <xf numFmtId="0" fontId="3" fillId="0" borderId="0" xfId="46" applyNumberFormat="1" applyFont="1">
      <alignment/>
      <protection/>
    </xf>
    <xf numFmtId="0" fontId="3" fillId="37" borderId="57" xfId="46" applyFont="1" applyFill="1" applyBorder="1">
      <alignment/>
      <protection/>
    </xf>
    <xf numFmtId="0" fontId="3" fillId="33" borderId="12" xfId="46" applyFont="1" applyFill="1" applyBorder="1">
      <alignment/>
      <protection/>
    </xf>
    <xf numFmtId="0" fontId="3" fillId="33" borderId="53" xfId="46" applyFont="1" applyFill="1" applyBorder="1">
      <alignment/>
      <protection/>
    </xf>
    <xf numFmtId="0" fontId="3" fillId="0" borderId="0" xfId="46" applyFont="1" applyFill="1">
      <alignment/>
      <protection/>
    </xf>
    <xf numFmtId="0" fontId="3" fillId="39" borderId="0" xfId="46" applyFont="1" applyFill="1" applyProtection="1">
      <alignment/>
      <protection locked="0"/>
    </xf>
    <xf numFmtId="0" fontId="3" fillId="37" borderId="59" xfId="46" applyFont="1" applyFill="1" applyBorder="1" applyProtection="1">
      <alignment/>
      <protection locked="0"/>
    </xf>
    <xf numFmtId="0" fontId="3" fillId="0" borderId="0" xfId="46" applyFont="1" applyProtection="1">
      <alignment/>
      <protection locked="0"/>
    </xf>
    <xf numFmtId="0" fontId="3" fillId="37" borderId="67" xfId="46" applyFont="1" applyFill="1" applyBorder="1">
      <alignment/>
      <protection/>
    </xf>
    <xf numFmtId="0" fontId="3" fillId="0" borderId="68" xfId="46" applyFont="1" applyBorder="1">
      <alignment/>
      <protection/>
    </xf>
    <xf numFmtId="0" fontId="3" fillId="0" borderId="69" xfId="46" applyFont="1" applyBorder="1">
      <alignment/>
      <protection/>
    </xf>
    <xf numFmtId="0" fontId="3" fillId="0" borderId="70" xfId="46" applyFont="1" applyBorder="1">
      <alignment/>
      <protection/>
    </xf>
    <xf numFmtId="0" fontId="3" fillId="37" borderId="12" xfId="46" applyFont="1" applyFill="1" applyBorder="1" applyProtection="1">
      <alignment/>
      <protection locked="0"/>
    </xf>
    <xf numFmtId="0" fontId="3" fillId="0" borderId="71" xfId="46" applyFont="1" applyBorder="1">
      <alignment/>
      <protection/>
    </xf>
    <xf numFmtId="0" fontId="3" fillId="37" borderId="72" xfId="46" applyFont="1" applyFill="1" applyBorder="1">
      <alignment/>
      <protection/>
    </xf>
    <xf numFmtId="0" fontId="3" fillId="37" borderId="16" xfId="46" applyFont="1" applyFill="1" applyBorder="1" applyProtection="1">
      <alignment/>
      <protection locked="0"/>
    </xf>
    <xf numFmtId="0" fontId="3" fillId="37" borderId="12" xfId="46" applyFont="1" applyFill="1" applyBorder="1">
      <alignment/>
      <protection/>
    </xf>
    <xf numFmtId="0" fontId="3" fillId="40" borderId="70" xfId="46" applyFont="1" applyFill="1" applyBorder="1" applyProtection="1">
      <alignment/>
      <protection locked="0"/>
    </xf>
    <xf numFmtId="181" fontId="3" fillId="0" borderId="0" xfId="46" applyNumberFormat="1" applyFont="1">
      <alignment/>
      <protection/>
    </xf>
    <xf numFmtId="0" fontId="3" fillId="37" borderId="53" xfId="46" applyFont="1" applyFill="1" applyBorder="1" applyProtection="1">
      <alignment/>
      <protection locked="0"/>
    </xf>
    <xf numFmtId="0" fontId="3" fillId="37" borderId="53" xfId="46" applyFont="1" applyFill="1" applyBorder="1">
      <alignment/>
      <protection/>
    </xf>
    <xf numFmtId="172" fontId="3" fillId="0" borderId="12" xfId="46" applyNumberFormat="1" applyFont="1" applyBorder="1">
      <alignment/>
      <protection/>
    </xf>
    <xf numFmtId="0" fontId="3" fillId="0" borderId="73" xfId="46" applyFont="1" applyBorder="1">
      <alignment/>
      <protection/>
    </xf>
    <xf numFmtId="0" fontId="3" fillId="0" borderId="74" xfId="46" applyFont="1" applyBorder="1">
      <alignment/>
      <protection/>
    </xf>
    <xf numFmtId="0" fontId="3" fillId="41" borderId="53" xfId="46" applyFont="1" applyFill="1" applyBorder="1" applyProtection="1">
      <alignment/>
      <protection locked="0"/>
    </xf>
    <xf numFmtId="0" fontId="3" fillId="41" borderId="53" xfId="46" applyFont="1" applyFill="1" applyBorder="1">
      <alignment/>
      <protection/>
    </xf>
    <xf numFmtId="0" fontId="3" fillId="40" borderId="0" xfId="46" applyFont="1" applyFill="1" applyBorder="1" applyProtection="1">
      <alignment/>
      <protection locked="0"/>
    </xf>
    <xf numFmtId="0" fontId="3" fillId="37" borderId="63" xfId="46" applyFont="1" applyFill="1" applyBorder="1" applyProtection="1">
      <alignment/>
      <protection locked="0"/>
    </xf>
    <xf numFmtId="172" fontId="3" fillId="0" borderId="17" xfId="46" applyNumberFormat="1" applyFont="1" applyBorder="1">
      <alignment/>
      <protection/>
    </xf>
    <xf numFmtId="0" fontId="3" fillId="0" borderId="75" xfId="46" applyFont="1" applyBorder="1">
      <alignment/>
      <protection/>
    </xf>
    <xf numFmtId="0" fontId="3" fillId="0" borderId="76" xfId="46" applyFont="1" applyBorder="1">
      <alignment/>
      <protection/>
    </xf>
    <xf numFmtId="0" fontId="3" fillId="0" borderId="77" xfId="46" applyFont="1" applyBorder="1">
      <alignment/>
      <protection/>
    </xf>
    <xf numFmtId="0" fontId="3" fillId="0" borderId="78" xfId="46" applyFont="1" applyBorder="1">
      <alignment/>
      <protection/>
    </xf>
    <xf numFmtId="0" fontId="3" fillId="0" borderId="11" xfId="46" applyFont="1" applyBorder="1">
      <alignment/>
      <protection/>
    </xf>
    <xf numFmtId="0" fontId="3" fillId="37" borderId="0" xfId="46" applyFont="1" applyFill="1" applyBorder="1" applyProtection="1">
      <alignment/>
      <protection locked="0"/>
    </xf>
    <xf numFmtId="0" fontId="3" fillId="0" borderId="14" xfId="46" applyFont="1" applyBorder="1">
      <alignment/>
      <protection/>
    </xf>
    <xf numFmtId="0" fontId="3" fillId="0" borderId="19" xfId="46" applyFont="1" applyBorder="1">
      <alignment/>
      <protection/>
    </xf>
    <xf numFmtId="0" fontId="3" fillId="0" borderId="20" xfId="46" applyFont="1" applyBorder="1">
      <alignment/>
      <protection/>
    </xf>
    <xf numFmtId="0" fontId="3" fillId="37" borderId="20" xfId="46" applyFont="1" applyFill="1" applyBorder="1">
      <alignment/>
      <protection/>
    </xf>
    <xf numFmtId="0" fontId="3" fillId="0" borderId="21" xfId="46" applyFont="1" applyBorder="1">
      <alignment/>
      <protection/>
    </xf>
    <xf numFmtId="0" fontId="3" fillId="15" borderId="0" xfId="46" applyFont="1" applyFill="1">
      <alignment/>
      <protection/>
    </xf>
    <xf numFmtId="0" fontId="3" fillId="0" borderId="77" xfId="46" applyFont="1" applyBorder="1" applyAlignment="1">
      <alignment horizontal="center"/>
      <protection/>
    </xf>
    <xf numFmtId="0" fontId="3" fillId="41" borderId="59" xfId="46" applyFont="1" applyFill="1" applyBorder="1" applyProtection="1">
      <alignment/>
      <protection locked="0"/>
    </xf>
    <xf numFmtId="0" fontId="3" fillId="42" borderId="0" xfId="46" applyFont="1" applyFill="1">
      <alignment/>
      <protection/>
    </xf>
    <xf numFmtId="0" fontId="3" fillId="41" borderId="67" xfId="46" applyFont="1" applyFill="1" applyBorder="1">
      <alignment/>
      <protection/>
    </xf>
    <xf numFmtId="0" fontId="3" fillId="37" borderId="14" xfId="46" applyFont="1" applyFill="1" applyBorder="1" applyProtection="1">
      <alignment/>
      <protection locked="0"/>
    </xf>
    <xf numFmtId="0" fontId="3" fillId="37" borderId="0" xfId="46" applyFont="1" applyFill="1" applyBorder="1">
      <alignment/>
      <protection/>
    </xf>
    <xf numFmtId="0" fontId="3" fillId="37" borderId="14" xfId="46" applyFont="1" applyFill="1" applyBorder="1">
      <alignment/>
      <protection/>
    </xf>
    <xf numFmtId="0" fontId="3" fillId="0" borderId="79" xfId="46" applyFont="1" applyBorder="1">
      <alignment/>
      <protection/>
    </xf>
    <xf numFmtId="0" fontId="3" fillId="0" borderId="80" xfId="46" applyFont="1" applyBorder="1">
      <alignment/>
      <protection/>
    </xf>
    <xf numFmtId="0" fontId="3" fillId="0" borderId="72" xfId="46" applyFont="1" applyBorder="1">
      <alignment/>
      <protection/>
    </xf>
    <xf numFmtId="0" fontId="15" fillId="0" borderId="71" xfId="46" applyFont="1" applyBorder="1">
      <alignment/>
      <protection/>
    </xf>
    <xf numFmtId="0" fontId="3" fillId="39" borderId="0" xfId="46" applyFont="1" applyFill="1" applyBorder="1" applyProtection="1">
      <alignment/>
      <protection locked="0"/>
    </xf>
    <xf numFmtId="0" fontId="15" fillId="0" borderId="81" xfId="46" applyFont="1" applyBorder="1">
      <alignment/>
      <protection/>
    </xf>
    <xf numFmtId="0" fontId="3" fillId="39" borderId="69" xfId="46" applyFont="1" applyFill="1" applyBorder="1" applyProtection="1">
      <alignment/>
      <protection locked="0"/>
    </xf>
    <xf numFmtId="181" fontId="3" fillId="0" borderId="69" xfId="46" applyNumberFormat="1" applyFont="1" applyBorder="1">
      <alignment/>
      <protection/>
    </xf>
    <xf numFmtId="0" fontId="5" fillId="0" borderId="66" xfId="46" applyFont="1" applyBorder="1">
      <alignment/>
      <protection/>
    </xf>
    <xf numFmtId="0" fontId="5" fillId="0" borderId="0" xfId="46" applyFont="1" applyBorder="1">
      <alignment/>
      <protection/>
    </xf>
    <xf numFmtId="0" fontId="15" fillId="0" borderId="72" xfId="46" applyFont="1" applyBorder="1">
      <alignment/>
      <protection/>
    </xf>
    <xf numFmtId="0" fontId="3" fillId="0" borderId="0" xfId="46" applyFont="1" applyFill="1" applyBorder="1" applyProtection="1">
      <alignment/>
      <protection locked="0"/>
    </xf>
    <xf numFmtId="0" fontId="3" fillId="0" borderId="0" xfId="46" applyFont="1" applyFill="1" applyBorder="1">
      <alignment/>
      <protection/>
    </xf>
    <xf numFmtId="172" fontId="3" fillId="0" borderId="0" xfId="46" applyNumberFormat="1" applyFont="1" applyFill="1" applyBorder="1">
      <alignment/>
      <protection/>
    </xf>
    <xf numFmtId="14" fontId="3" fillId="0" borderId="0" xfId="46" applyNumberFormat="1" applyFont="1" applyFill="1" applyBorder="1">
      <alignment/>
      <protection/>
    </xf>
    <xf numFmtId="174" fontId="3" fillId="0" borderId="0" xfId="46" applyNumberFormat="1" applyFont="1">
      <alignment/>
      <protection/>
    </xf>
    <xf numFmtId="0" fontId="3" fillId="0" borderId="0" xfId="46" applyNumberFormat="1" applyFont="1" applyFill="1" applyBorder="1">
      <alignment/>
      <protection/>
    </xf>
    <xf numFmtId="0" fontId="3" fillId="0" borderId="0" xfId="46" applyNumberFormat="1" applyFont="1" applyFill="1" applyBorder="1" applyProtection="1">
      <alignment/>
      <protection locked="0"/>
    </xf>
    <xf numFmtId="9" fontId="3" fillId="0" borderId="69" xfId="46" applyNumberFormat="1" applyFont="1" applyBorder="1">
      <alignment/>
      <protection/>
    </xf>
    <xf numFmtId="172" fontId="3" fillId="0" borderId="78" xfId="46" applyNumberFormat="1" applyFont="1" applyBorder="1">
      <alignment/>
      <protection/>
    </xf>
    <xf numFmtId="172" fontId="3" fillId="0" borderId="14" xfId="46" applyNumberFormat="1" applyFont="1" applyBorder="1">
      <alignment/>
      <protection/>
    </xf>
    <xf numFmtId="0" fontId="3" fillId="0" borderId="0" xfId="46" applyFont="1" applyProtection="1">
      <alignment/>
      <protection/>
    </xf>
    <xf numFmtId="9" fontId="3" fillId="0" borderId="12" xfId="46" applyNumberFormat="1" applyFont="1" applyBorder="1">
      <alignment/>
      <protection/>
    </xf>
    <xf numFmtId="0" fontId="3" fillId="0" borderId="60" xfId="46" applyFont="1" applyBorder="1" applyAlignment="1">
      <alignment horizontal="center"/>
      <protection/>
    </xf>
    <xf numFmtId="0" fontId="3" fillId="0" borderId="12" xfId="46" applyFont="1" applyBorder="1" applyAlignment="1">
      <alignment/>
      <protection/>
    </xf>
    <xf numFmtId="0" fontId="3" fillId="0" borderId="0" xfId="46" applyFont="1" applyBorder="1" applyAlignment="1">
      <alignment/>
      <protection/>
    </xf>
    <xf numFmtId="175" fontId="3" fillId="0" borderId="0" xfId="46" applyNumberFormat="1" applyFont="1">
      <alignment/>
      <protection/>
    </xf>
    <xf numFmtId="0" fontId="3" fillId="37" borderId="64" xfId="46" applyFont="1" applyFill="1" applyBorder="1" applyProtection="1">
      <alignment/>
      <protection locked="0"/>
    </xf>
    <xf numFmtId="0" fontId="3" fillId="37" borderId="76" xfId="46" applyFont="1" applyFill="1" applyBorder="1" applyProtection="1">
      <alignment/>
      <protection locked="0"/>
    </xf>
    <xf numFmtId="172" fontId="3" fillId="37" borderId="78" xfId="46" applyNumberFormat="1" applyFont="1" applyFill="1" applyBorder="1">
      <alignment/>
      <protection/>
    </xf>
    <xf numFmtId="0" fontId="3" fillId="37" borderId="11" xfId="46" applyFont="1" applyFill="1" applyBorder="1" applyProtection="1">
      <alignment/>
      <protection locked="0"/>
    </xf>
    <xf numFmtId="172" fontId="3" fillId="37" borderId="14" xfId="46" applyNumberFormat="1" applyFont="1" applyFill="1" applyBorder="1">
      <alignment/>
      <protection/>
    </xf>
    <xf numFmtId="172" fontId="3" fillId="0" borderId="21" xfId="46" applyNumberFormat="1" applyFont="1" applyBorder="1">
      <alignment/>
      <protection/>
    </xf>
    <xf numFmtId="0" fontId="3" fillId="37" borderId="19" xfId="46" applyFont="1" applyFill="1" applyBorder="1" applyProtection="1">
      <alignment/>
      <protection locked="0"/>
    </xf>
    <xf numFmtId="172" fontId="3" fillId="37" borderId="21" xfId="46" applyNumberFormat="1" applyFont="1" applyFill="1" applyBorder="1">
      <alignment/>
      <protection/>
    </xf>
    <xf numFmtId="0" fontId="3" fillId="37" borderId="67" xfId="46" applyFont="1" applyFill="1" applyBorder="1" applyProtection="1">
      <alignment/>
      <protection locked="0"/>
    </xf>
    <xf numFmtId="0" fontId="3" fillId="37" borderId="0" xfId="46" applyFont="1" applyFill="1">
      <alignment/>
      <protection/>
    </xf>
    <xf numFmtId="172" fontId="3" fillId="0" borderId="66" xfId="46" applyNumberFormat="1" applyFont="1" applyBorder="1">
      <alignment/>
      <protection/>
    </xf>
    <xf numFmtId="0" fontId="3" fillId="37" borderId="60" xfId="46" applyFont="1" applyFill="1" applyBorder="1" applyProtection="1">
      <alignment/>
      <protection locked="0"/>
    </xf>
    <xf numFmtId="14" fontId="3" fillId="0" borderId="66" xfId="46" applyNumberFormat="1" applyFont="1" applyBorder="1">
      <alignment/>
      <protection/>
    </xf>
    <xf numFmtId="0" fontId="3" fillId="0" borderId="61" xfId="46" applyFont="1" applyBorder="1">
      <alignment/>
      <protection/>
    </xf>
    <xf numFmtId="172" fontId="14" fillId="0" borderId="0" xfId="46" applyNumberFormat="1" applyFont="1">
      <alignment/>
      <protection/>
    </xf>
    <xf numFmtId="1" fontId="3" fillId="0" borderId="60" xfId="46" applyNumberFormat="1" applyFont="1" applyBorder="1">
      <alignment/>
      <protection/>
    </xf>
    <xf numFmtId="1" fontId="3" fillId="0" borderId="66" xfId="46" applyNumberFormat="1" applyFont="1" applyBorder="1">
      <alignment/>
      <protection/>
    </xf>
    <xf numFmtId="0" fontId="3" fillId="0" borderId="66" xfId="46" applyFont="1" applyBorder="1" applyAlignment="1">
      <alignment horizontal="right" vertical="center"/>
      <protection/>
    </xf>
    <xf numFmtId="1" fontId="3" fillId="0" borderId="12" xfId="46" applyNumberFormat="1" applyFont="1" applyBorder="1">
      <alignment/>
      <protection/>
    </xf>
    <xf numFmtId="1" fontId="3" fillId="0" borderId="0" xfId="46" applyNumberFormat="1" applyFont="1" applyBorder="1">
      <alignment/>
      <protection/>
    </xf>
    <xf numFmtId="0" fontId="15" fillId="0" borderId="10" xfId="46" applyFont="1" applyBorder="1">
      <alignment/>
      <protection/>
    </xf>
    <xf numFmtId="0" fontId="15" fillId="0" borderId="60" xfId="46" applyFont="1" applyBorder="1">
      <alignment/>
      <protection/>
    </xf>
    <xf numFmtId="174" fontId="3" fillId="0" borderId="66" xfId="46" applyNumberFormat="1" applyFont="1" applyBorder="1">
      <alignment/>
      <protection/>
    </xf>
    <xf numFmtId="174" fontId="3" fillId="0" borderId="63" xfId="46" applyNumberFormat="1" applyFont="1" applyBorder="1">
      <alignment/>
      <protection/>
    </xf>
    <xf numFmtId="9" fontId="15" fillId="0" borderId="10" xfId="46" applyNumberFormat="1" applyFont="1" applyBorder="1" applyAlignment="1">
      <alignment horizontal="right"/>
      <protection/>
    </xf>
    <xf numFmtId="0" fontId="15" fillId="0" borderId="12" xfId="46" applyFont="1" applyBorder="1">
      <alignment/>
      <protection/>
    </xf>
    <xf numFmtId="174" fontId="3" fillId="0" borderId="0" xfId="46" applyNumberFormat="1" applyFont="1" applyBorder="1">
      <alignment/>
      <protection/>
    </xf>
    <xf numFmtId="0" fontId="15" fillId="0" borderId="0" xfId="46" applyFont="1" applyBorder="1">
      <alignment/>
      <protection/>
    </xf>
    <xf numFmtId="0" fontId="3" fillId="0" borderId="0" xfId="46" applyNumberFormat="1" applyFont="1" applyBorder="1">
      <alignment/>
      <protection/>
    </xf>
    <xf numFmtId="0" fontId="3" fillId="0" borderId="60" xfId="46" applyFont="1" applyBorder="1" applyAlignment="1">
      <alignment horizontal="right"/>
      <protection/>
    </xf>
    <xf numFmtId="0" fontId="3" fillId="0" borderId="10" xfId="46" applyNumberFormat="1" applyFont="1" applyBorder="1">
      <alignment/>
      <protection/>
    </xf>
    <xf numFmtId="0" fontId="3" fillId="0" borderId="81" xfId="46" applyFont="1" applyBorder="1">
      <alignment/>
      <protection/>
    </xf>
    <xf numFmtId="0" fontId="3" fillId="37" borderId="12" xfId="46" applyNumberFormat="1" applyFont="1" applyFill="1" applyBorder="1" applyProtection="1">
      <alignment/>
      <protection locked="0"/>
    </xf>
    <xf numFmtId="0" fontId="3" fillId="0" borderId="12" xfId="46" applyFont="1" applyBorder="1" applyAlignment="1">
      <alignment horizontal="right" vertical="center"/>
      <protection/>
    </xf>
    <xf numFmtId="0" fontId="3" fillId="37" borderId="66" xfId="46" applyFont="1" applyFill="1" applyBorder="1" applyProtection="1">
      <alignment/>
      <protection locked="0"/>
    </xf>
    <xf numFmtId="172" fontId="3" fillId="0" borderId="0" xfId="46" applyNumberFormat="1" applyFont="1" applyAlignment="1">
      <alignment horizontal="center"/>
      <protection/>
    </xf>
    <xf numFmtId="172" fontId="3" fillId="0" borderId="82" xfId="46" applyNumberFormat="1" applyFont="1" applyBorder="1">
      <alignment/>
      <protection/>
    </xf>
    <xf numFmtId="0" fontId="3" fillId="0" borderId="83" xfId="46" applyFont="1" applyBorder="1" applyAlignment="1">
      <alignment horizontal="center"/>
      <protection/>
    </xf>
    <xf numFmtId="0" fontId="3" fillId="33" borderId="0" xfId="46" applyNumberFormat="1" applyFont="1" applyFill="1" applyBorder="1">
      <alignment/>
      <protection/>
    </xf>
    <xf numFmtId="0" fontId="3" fillId="0" borderId="17" xfId="46" applyFont="1" applyBorder="1" applyAlignment="1">
      <alignment horizontal="right" vertical="center"/>
      <protection/>
    </xf>
    <xf numFmtId="172" fontId="3" fillId="33" borderId="0" xfId="46" applyNumberFormat="1" applyFont="1" applyFill="1" applyBorder="1">
      <alignment/>
      <protection/>
    </xf>
    <xf numFmtId="172" fontId="3" fillId="37" borderId="0" xfId="46" applyNumberFormat="1" applyFont="1" applyFill="1" applyBorder="1">
      <alignment/>
      <protection/>
    </xf>
    <xf numFmtId="176" fontId="3" fillId="0" borderId="0" xfId="46" applyNumberFormat="1" applyFont="1">
      <alignment/>
      <protection/>
    </xf>
    <xf numFmtId="0" fontId="3" fillId="0" borderId="16" xfId="46" applyNumberFormat="1" applyFont="1" applyBorder="1">
      <alignment/>
      <protection/>
    </xf>
    <xf numFmtId="172" fontId="3" fillId="0" borderId="82" xfId="46" applyNumberFormat="1" applyFont="1" applyBorder="1" applyAlignment="1">
      <alignment/>
      <protection/>
    </xf>
    <xf numFmtId="172" fontId="3" fillId="0" borderId="83" xfId="46" applyNumberFormat="1" applyFont="1" applyBorder="1" applyAlignment="1">
      <alignment horizontal="center"/>
      <protection/>
    </xf>
    <xf numFmtId="0" fontId="3" fillId="37" borderId="77" xfId="46" applyFont="1" applyFill="1" applyBorder="1" applyProtection="1">
      <alignment/>
      <protection locked="0"/>
    </xf>
    <xf numFmtId="172" fontId="3" fillId="0" borderId="0" xfId="46" applyNumberFormat="1" applyFont="1" applyBorder="1" applyAlignment="1">
      <alignment horizontal="center"/>
      <protection/>
    </xf>
    <xf numFmtId="0" fontId="3" fillId="37" borderId="0" xfId="46" applyNumberFormat="1" applyFont="1" applyFill="1" applyBorder="1">
      <alignment/>
      <protection/>
    </xf>
    <xf numFmtId="0" fontId="3" fillId="37" borderId="14" xfId="46" applyNumberFormat="1" applyFont="1" applyFill="1" applyBorder="1">
      <alignment/>
      <protection/>
    </xf>
    <xf numFmtId="172" fontId="3" fillId="0" borderId="16" xfId="46" applyNumberFormat="1" applyFont="1" applyBorder="1" applyAlignment="1">
      <alignment horizontal="center"/>
      <protection/>
    </xf>
    <xf numFmtId="0" fontId="17" fillId="0" borderId="75" xfId="46" applyFont="1" applyBorder="1" applyAlignment="1">
      <alignment vertical="center"/>
      <protection/>
    </xf>
    <xf numFmtId="0" fontId="1" fillId="0" borderId="75" xfId="46" applyBorder="1">
      <alignment/>
      <protection/>
    </xf>
    <xf numFmtId="0" fontId="192" fillId="0" borderId="0" xfId="46" applyFont="1">
      <alignment/>
      <protection/>
    </xf>
    <xf numFmtId="0" fontId="193" fillId="0" borderId="0" xfId="46" applyFont="1">
      <alignment/>
      <protection/>
    </xf>
    <xf numFmtId="0" fontId="3" fillId="0" borderId="84" xfId="46" applyFont="1" applyBorder="1">
      <alignment/>
      <protection/>
    </xf>
    <xf numFmtId="181" fontId="3" fillId="0" borderId="0" xfId="46" applyNumberFormat="1" applyFont="1" applyBorder="1">
      <alignment/>
      <protection/>
    </xf>
    <xf numFmtId="172" fontId="14" fillId="0" borderId="0" xfId="46" applyNumberFormat="1" applyFont="1" applyBorder="1" applyAlignment="1" applyProtection="1">
      <alignment horizontal="center" vertical="center"/>
      <protection hidden="1" locked="0"/>
    </xf>
    <xf numFmtId="0" fontId="23" fillId="38" borderId="72" xfId="46" applyFont="1" applyFill="1" applyBorder="1" applyAlignment="1" applyProtection="1">
      <alignment horizontal="center" wrapText="1"/>
      <protection hidden="1"/>
    </xf>
    <xf numFmtId="0" fontId="23" fillId="38" borderId="85" xfId="46" applyFont="1" applyFill="1" applyBorder="1" applyAlignment="1" applyProtection="1">
      <alignment horizontal="center" wrapText="1"/>
      <protection hidden="1"/>
    </xf>
    <xf numFmtId="0" fontId="3" fillId="0" borderId="85" xfId="46" applyFont="1" applyBorder="1" applyAlignment="1">
      <alignment horizontal="center"/>
      <protection/>
    </xf>
    <xf numFmtId="0" fontId="3" fillId="0" borderId="85" xfId="46" applyFont="1" applyBorder="1" applyAlignment="1">
      <alignment horizontal="center" vertical="center"/>
      <protection/>
    </xf>
    <xf numFmtId="0" fontId="3" fillId="0" borderId="82" xfId="46" applyFont="1" applyBorder="1" applyAlignment="1">
      <alignment horizontal="center"/>
      <protection/>
    </xf>
    <xf numFmtId="0" fontId="23" fillId="38" borderId="82" xfId="46" applyFont="1" applyFill="1" applyBorder="1" applyAlignment="1" applyProtection="1">
      <alignment horizontal="center" wrapText="1"/>
      <protection hidden="1"/>
    </xf>
    <xf numFmtId="0" fontId="23" fillId="38" borderId="71" xfId="46" applyFont="1" applyFill="1" applyBorder="1" applyAlignment="1" applyProtection="1">
      <alignment horizontal="center" wrapText="1"/>
      <protection hidden="1"/>
    </xf>
    <xf numFmtId="0" fontId="20" fillId="0" borderId="86" xfId="46" applyFont="1" applyBorder="1" applyAlignment="1" applyProtection="1">
      <alignment horizontal="left"/>
      <protection hidden="1" locked="0"/>
    </xf>
    <xf numFmtId="0" fontId="3" fillId="0" borderId="86" xfId="46" applyFont="1" applyBorder="1" applyAlignment="1" applyProtection="1">
      <alignment horizontal="left" vertical="top" wrapText="1"/>
      <protection hidden="1" locked="0"/>
    </xf>
    <xf numFmtId="0" fontId="20" fillId="0" borderId="86" xfId="46" applyFont="1" applyBorder="1" applyAlignment="1" applyProtection="1">
      <alignment horizontal="left" vertical="center"/>
      <protection hidden="1" locked="0"/>
    </xf>
    <xf numFmtId="0" fontId="3" fillId="0" borderId="87" xfId="46" applyFont="1" applyBorder="1" applyAlignment="1" applyProtection="1">
      <alignment horizontal="center" vertical="center"/>
      <protection hidden="1" locked="0"/>
    </xf>
    <xf numFmtId="0" fontId="27" fillId="43" borderId="0" xfId="46" applyFont="1" applyFill="1" applyBorder="1" applyAlignment="1" applyProtection="1">
      <alignment vertical="center" wrapText="1"/>
      <protection hidden="1"/>
    </xf>
    <xf numFmtId="0" fontId="19" fillId="43" borderId="0" xfId="46" applyFont="1" applyFill="1" applyBorder="1" applyAlignment="1" applyProtection="1">
      <alignment vertical="center" wrapText="1"/>
      <protection hidden="1"/>
    </xf>
    <xf numFmtId="0" fontId="3" fillId="0" borderId="88" xfId="46" applyFont="1" applyBorder="1" applyAlignment="1" applyProtection="1">
      <alignment horizontal="center" vertical="center"/>
      <protection hidden="1" locked="0"/>
    </xf>
    <xf numFmtId="0" fontId="3" fillId="0" borderId="0" xfId="46" applyFont="1" applyAlignment="1">
      <alignment/>
      <protection/>
    </xf>
    <xf numFmtId="0" fontId="20" fillId="0" borderId="89" xfId="46" applyFont="1" applyBorder="1" applyAlignment="1" applyProtection="1">
      <alignment horizontal="left"/>
      <protection hidden="1" locked="0"/>
    </xf>
    <xf numFmtId="0" fontId="48" fillId="44" borderId="16" xfId="46" applyFont="1" applyFill="1" applyBorder="1" applyAlignment="1" applyProtection="1">
      <alignment vertical="center"/>
      <protection hidden="1"/>
    </xf>
    <xf numFmtId="181" fontId="26" fillId="37" borderId="72" xfId="46" applyNumberFormat="1" applyFont="1" applyFill="1" applyBorder="1" applyAlignment="1" applyProtection="1">
      <alignment horizontal="center" vertical="center"/>
      <protection hidden="1"/>
    </xf>
    <xf numFmtId="181" fontId="21" fillId="37" borderId="71" xfId="46" applyNumberFormat="1" applyFont="1" applyFill="1" applyBorder="1" applyAlignment="1" applyProtection="1">
      <alignment horizontal="center" vertical="center"/>
      <protection hidden="1"/>
    </xf>
    <xf numFmtId="0" fontId="19" fillId="43" borderId="0" xfId="46" applyFont="1" applyFill="1" applyBorder="1" applyAlignment="1" applyProtection="1">
      <alignment horizontal="center" wrapText="1"/>
      <protection hidden="1"/>
    </xf>
    <xf numFmtId="0" fontId="3" fillId="0" borderId="90" xfId="46" applyFont="1" applyBorder="1">
      <alignment/>
      <protection/>
    </xf>
    <xf numFmtId="0" fontId="3" fillId="0" borderId="0" xfId="46" applyFont="1" applyBorder="1" applyAlignment="1" applyProtection="1">
      <alignment horizontal="center" vertical="center"/>
      <protection hidden="1" locked="0"/>
    </xf>
    <xf numFmtId="0" fontId="23" fillId="0" borderId="0" xfId="46" applyFont="1" applyFill="1" applyBorder="1" applyAlignment="1" applyProtection="1">
      <alignment vertical="top" wrapText="1"/>
      <protection hidden="1"/>
    </xf>
    <xf numFmtId="0" fontId="5" fillId="43" borderId="87" xfId="46" applyFont="1" applyFill="1" applyBorder="1" applyAlignment="1" applyProtection="1">
      <alignment horizontal="left" vertical="center" wrapText="1"/>
      <protection hidden="1"/>
    </xf>
    <xf numFmtId="0" fontId="14" fillId="45" borderId="0" xfId="46" applyFont="1" applyFill="1" applyBorder="1" applyAlignment="1" applyProtection="1">
      <alignment vertical="center" wrapText="1"/>
      <protection hidden="1"/>
    </xf>
    <xf numFmtId="0" fontId="3" fillId="45" borderId="0" xfId="46" applyFont="1" applyFill="1" applyBorder="1" applyAlignment="1" applyProtection="1">
      <alignment vertical="center" wrapText="1"/>
      <protection hidden="1"/>
    </xf>
    <xf numFmtId="0" fontId="3" fillId="45" borderId="0" xfId="46" applyFont="1" applyFill="1" applyBorder="1">
      <alignment/>
      <protection/>
    </xf>
    <xf numFmtId="0" fontId="3" fillId="0" borderId="91" xfId="46" applyFont="1" applyBorder="1" applyAlignment="1" applyProtection="1">
      <alignment horizontal="center" vertical="center"/>
      <protection hidden="1" locked="0"/>
    </xf>
    <xf numFmtId="0" fontId="3" fillId="0" borderId="92" xfId="46" applyFont="1" applyFill="1" applyBorder="1" applyAlignment="1" applyProtection="1">
      <alignment horizontal="center" vertical="center" wrapText="1"/>
      <protection hidden="1"/>
    </xf>
    <xf numFmtId="0" fontId="3" fillId="0" borderId="19" xfId="46" applyFont="1" applyBorder="1" applyAlignment="1" applyProtection="1">
      <alignment horizontal="center" vertical="center"/>
      <protection hidden="1" locked="0"/>
    </xf>
    <xf numFmtId="0" fontId="3" fillId="33" borderId="56" xfId="46" applyFont="1" applyFill="1" applyBorder="1" applyAlignment="1" applyProtection="1">
      <alignment horizontal="center" vertical="center"/>
      <protection hidden="1"/>
    </xf>
    <xf numFmtId="0" fontId="3" fillId="42" borderId="93" xfId="46" applyFont="1" applyFill="1" applyBorder="1">
      <alignment/>
      <protection/>
    </xf>
    <xf numFmtId="0" fontId="43" fillId="46" borderId="94" xfId="46" applyFont="1" applyFill="1" applyBorder="1" applyAlignment="1">
      <alignment horizontal="center" vertical="center"/>
      <protection/>
    </xf>
    <xf numFmtId="0" fontId="43" fillId="46" borderId="95" xfId="46" applyFont="1" applyFill="1" applyBorder="1" applyAlignment="1">
      <alignment horizontal="center" vertical="center"/>
      <protection/>
    </xf>
    <xf numFmtId="0" fontId="32" fillId="47" borderId="95" xfId="46" applyFont="1" applyFill="1" applyBorder="1" applyAlignment="1" applyProtection="1">
      <alignment horizontal="center" vertical="top" wrapText="1"/>
      <protection hidden="1"/>
    </xf>
    <xf numFmtId="0" fontId="43" fillId="46" borderId="96" xfId="46" applyFont="1" applyFill="1" applyBorder="1" applyAlignment="1">
      <alignment horizontal="center" vertical="center"/>
      <protection/>
    </xf>
    <xf numFmtId="0" fontId="20" fillId="0" borderId="18" xfId="46" applyFont="1" applyBorder="1" applyAlignment="1" applyProtection="1">
      <alignment horizontal="left"/>
      <protection hidden="1" locked="0"/>
    </xf>
    <xf numFmtId="0" fontId="20" fillId="0" borderId="62" xfId="46" applyFont="1" applyBorder="1" applyAlignment="1" applyProtection="1">
      <alignment horizontal="left"/>
      <protection hidden="1" locked="0"/>
    </xf>
    <xf numFmtId="0" fontId="3" fillId="0" borderId="62" xfId="46" applyFont="1" applyBorder="1" applyAlignment="1" applyProtection="1">
      <alignment horizontal="left" vertical="top" wrapText="1"/>
      <protection hidden="1" locked="0"/>
    </xf>
    <xf numFmtId="0" fontId="20" fillId="0" borderId="62" xfId="46" applyFont="1" applyBorder="1" applyAlignment="1" applyProtection="1">
      <alignment horizontal="left" vertical="center"/>
      <protection hidden="1" locked="0"/>
    </xf>
    <xf numFmtId="0" fontId="3" fillId="42" borderId="95" xfId="46" applyFont="1" applyFill="1" applyBorder="1">
      <alignment/>
      <protection/>
    </xf>
    <xf numFmtId="0" fontId="23" fillId="42" borderId="95" xfId="46" applyFont="1" applyFill="1" applyBorder="1" applyAlignment="1" applyProtection="1">
      <alignment vertical="center" wrapText="1"/>
      <protection hidden="1"/>
    </xf>
    <xf numFmtId="0" fontId="3" fillId="48" borderId="95" xfId="46" applyFont="1" applyFill="1" applyBorder="1" applyAlignment="1">
      <alignment/>
      <protection/>
    </xf>
    <xf numFmtId="0" fontId="3" fillId="48" borderId="95" xfId="46" applyFont="1" applyFill="1" applyBorder="1" applyAlignment="1">
      <alignment horizontal="center"/>
      <protection/>
    </xf>
    <xf numFmtId="0" fontId="3" fillId="48" borderId="97" xfId="46" applyFont="1" applyFill="1" applyBorder="1" applyAlignment="1">
      <alignment horizontal="center"/>
      <protection/>
    </xf>
    <xf numFmtId="0" fontId="23" fillId="49" borderId="80" xfId="46" applyFont="1" applyFill="1" applyBorder="1" applyAlignment="1" applyProtection="1">
      <alignment vertical="center" wrapText="1"/>
      <protection hidden="1"/>
    </xf>
    <xf numFmtId="0" fontId="143" fillId="0" borderId="0" xfId="46" applyFont="1" applyBorder="1" applyAlignment="1" applyProtection="1">
      <alignment horizontal="left"/>
      <protection hidden="1"/>
    </xf>
    <xf numFmtId="0" fontId="144" fillId="0" borderId="0" xfId="46" applyFont="1" applyBorder="1" applyProtection="1">
      <alignment/>
      <protection hidden="1"/>
    </xf>
    <xf numFmtId="172" fontId="14" fillId="0" borderId="76" xfId="46" applyNumberFormat="1" applyFont="1" applyBorder="1" applyAlignment="1" applyProtection="1">
      <alignment horizontal="center" vertical="center"/>
      <protection hidden="1" locked="0"/>
    </xf>
    <xf numFmtId="0" fontId="19" fillId="50" borderId="98" xfId="46" applyFont="1" applyFill="1" applyBorder="1" applyAlignment="1" applyProtection="1">
      <alignment horizontal="center" vertical="center" wrapText="1"/>
      <protection hidden="1"/>
    </xf>
    <xf numFmtId="0" fontId="9" fillId="0" borderId="12" xfId="46" applyFont="1" applyBorder="1" applyAlignment="1" applyProtection="1">
      <alignment horizontal="center" vertical="center"/>
      <protection hidden="1"/>
    </xf>
    <xf numFmtId="174" fontId="9" fillId="0" borderId="10" xfId="46" applyNumberFormat="1" applyFont="1" applyBorder="1" applyAlignment="1" applyProtection="1">
      <alignment horizontal="center" vertical="center"/>
      <protection hidden="1"/>
    </xf>
    <xf numFmtId="174" fontId="9" fillId="0" borderId="14" xfId="46" applyNumberFormat="1" applyFont="1" applyBorder="1" applyAlignment="1" applyProtection="1">
      <alignment horizontal="center" vertical="center"/>
      <protection hidden="1"/>
    </xf>
    <xf numFmtId="174" fontId="9" fillId="0" borderId="29" xfId="46" applyNumberFormat="1" applyFont="1" applyBorder="1" applyAlignment="1" applyProtection="1">
      <alignment horizontal="center" vertical="center"/>
      <protection hidden="1"/>
    </xf>
    <xf numFmtId="174" fontId="9" fillId="0" borderId="99" xfId="46" applyNumberFormat="1" applyFont="1" applyBorder="1" applyAlignment="1" applyProtection="1">
      <alignment horizontal="center" vertical="center"/>
      <protection hidden="1"/>
    </xf>
    <xf numFmtId="174" fontId="9" fillId="0" borderId="83" xfId="46" applyNumberFormat="1" applyFont="1" applyBorder="1" applyAlignment="1" applyProtection="1">
      <alignment horizontal="center" vertical="center"/>
      <protection hidden="1"/>
    </xf>
    <xf numFmtId="174" fontId="9" fillId="0" borderId="100" xfId="46" applyNumberFormat="1" applyFont="1" applyBorder="1" applyAlignment="1" applyProtection="1">
      <alignment horizontal="center" vertical="center"/>
      <protection hidden="1"/>
    </xf>
    <xf numFmtId="174" fontId="9" fillId="0" borderId="101" xfId="46" applyNumberFormat="1" applyFont="1" applyBorder="1" applyAlignment="1" applyProtection="1">
      <alignment horizontal="center" vertical="center"/>
      <protection hidden="1"/>
    </xf>
    <xf numFmtId="3" fontId="9" fillId="0" borderId="28" xfId="46" applyNumberFormat="1" applyFont="1" applyBorder="1" applyAlignment="1" applyProtection="1">
      <alignment horizontal="right" vertical="center"/>
      <protection hidden="1"/>
    </xf>
    <xf numFmtId="174" fontId="9" fillId="0" borderId="29" xfId="46" applyNumberFormat="1" applyFont="1" applyBorder="1" applyAlignment="1" applyProtection="1">
      <alignment horizontal="left" vertical="center"/>
      <protection hidden="1"/>
    </xf>
    <xf numFmtId="174" fontId="9" fillId="0" borderId="28" xfId="46" applyNumberFormat="1" applyFont="1" applyBorder="1" applyAlignment="1" applyProtection="1">
      <alignment horizontal="right" vertical="center"/>
      <protection hidden="1"/>
    </xf>
    <xf numFmtId="174" fontId="14" fillId="0" borderId="0" xfId="46" applyNumberFormat="1" applyFont="1" applyBorder="1" applyAlignment="1">
      <alignment horizontal="left"/>
      <protection/>
    </xf>
    <xf numFmtId="174" fontId="14" fillId="0" borderId="102" xfId="46" applyNumberFormat="1" applyFont="1" applyBorder="1">
      <alignment/>
      <protection/>
    </xf>
    <xf numFmtId="0" fontId="9" fillId="0" borderId="29" xfId="46" applyFont="1" applyBorder="1" applyAlignment="1" applyProtection="1">
      <alignment/>
      <protection hidden="1"/>
    </xf>
    <xf numFmtId="174" fontId="9" fillId="0" borderId="28" xfId="46" applyNumberFormat="1" applyFont="1" applyBorder="1" applyAlignment="1" applyProtection="1">
      <alignment/>
      <protection hidden="1"/>
    </xf>
    <xf numFmtId="177" fontId="9" fillId="0" borderId="28" xfId="46" applyNumberFormat="1" applyFont="1" applyBorder="1" applyAlignment="1" applyProtection="1">
      <alignment horizontal="right"/>
      <protection hidden="1"/>
    </xf>
    <xf numFmtId="0" fontId="9" fillId="0" borderId="28" xfId="46" applyFont="1" applyBorder="1" applyAlignment="1" applyProtection="1">
      <alignment horizontal="right" vertical="center"/>
      <protection hidden="1"/>
    </xf>
    <xf numFmtId="0" fontId="14" fillId="0" borderId="103" xfId="46" applyFont="1" applyBorder="1" applyAlignment="1" applyProtection="1">
      <alignment horizontal="center"/>
      <protection hidden="1"/>
    </xf>
    <xf numFmtId="0" fontId="25" fillId="0" borderId="77" xfId="46" applyFont="1" applyBorder="1" applyProtection="1">
      <alignment/>
      <protection hidden="1"/>
    </xf>
    <xf numFmtId="174" fontId="25" fillId="0" borderId="78" xfId="46" applyNumberFormat="1" applyFont="1" applyBorder="1" applyProtection="1">
      <alignment/>
      <protection hidden="1"/>
    </xf>
    <xf numFmtId="0" fontId="5" fillId="0" borderId="104" xfId="46" applyFont="1" applyBorder="1" applyAlignment="1" applyProtection="1">
      <alignment horizontal="center" vertical="top"/>
      <protection hidden="1"/>
    </xf>
    <xf numFmtId="174" fontId="25" fillId="0" borderId="14" xfId="46" applyNumberFormat="1" applyFont="1" applyBorder="1" applyProtection="1">
      <alignment/>
      <protection hidden="1"/>
    </xf>
    <xf numFmtId="174" fontId="5" fillId="0" borderId="105" xfId="46" applyNumberFormat="1" applyFont="1" applyBorder="1" applyProtection="1">
      <alignment/>
      <protection hidden="1"/>
    </xf>
    <xf numFmtId="174" fontId="5" fillId="0" borderId="105" xfId="46" applyNumberFormat="1" applyFont="1" applyBorder="1" applyAlignment="1" applyProtection="1">
      <alignment horizontal="center"/>
      <protection hidden="1"/>
    </xf>
    <xf numFmtId="174" fontId="5" fillId="0" borderId="62" xfId="46" applyNumberFormat="1" applyFont="1" applyBorder="1" applyAlignment="1" applyProtection="1">
      <alignment vertical="center"/>
      <protection hidden="1"/>
    </xf>
    <xf numFmtId="174" fontId="5" fillId="0" borderId="62" xfId="46" applyNumberFormat="1" applyFont="1" applyBorder="1" applyProtection="1">
      <alignment/>
      <protection hidden="1"/>
    </xf>
    <xf numFmtId="174" fontId="5" fillId="0" borderId="14" xfId="46" applyNumberFormat="1" applyFont="1" applyBorder="1" applyAlignment="1" applyProtection="1">
      <alignment horizontal="right"/>
      <protection hidden="1"/>
    </xf>
    <xf numFmtId="174" fontId="5" fillId="0" borderId="28" xfId="46" applyNumberFormat="1" applyFont="1" applyBorder="1" applyProtection="1">
      <alignment/>
      <protection hidden="1"/>
    </xf>
    <xf numFmtId="174" fontId="14" fillId="0" borderId="28" xfId="46" applyNumberFormat="1" applyFont="1" applyBorder="1" applyProtection="1">
      <alignment/>
      <protection hidden="1"/>
    </xf>
    <xf numFmtId="0" fontId="21" fillId="0" borderId="106" xfId="46" applyFont="1" applyFill="1" applyBorder="1" applyAlignment="1" applyProtection="1">
      <alignment horizontal="center" vertical="center" wrapText="1"/>
      <protection hidden="1"/>
    </xf>
    <xf numFmtId="0" fontId="3" fillId="0" borderId="107" xfId="46" applyFont="1" applyBorder="1">
      <alignment/>
      <protection/>
    </xf>
    <xf numFmtId="0" fontId="7" fillId="0" borderId="77" xfId="46" applyFont="1" applyBorder="1" applyAlignment="1" applyProtection="1">
      <alignment vertical="center"/>
      <protection hidden="1"/>
    </xf>
    <xf numFmtId="0" fontId="57" fillId="0" borderId="12" xfId="46" applyFont="1" applyBorder="1" applyAlignment="1" applyProtection="1">
      <alignment horizontal="center"/>
      <protection hidden="1"/>
    </xf>
    <xf numFmtId="0" fontId="194" fillId="0" borderId="53" xfId="46" applyFont="1" applyBorder="1" applyAlignment="1" applyProtection="1">
      <alignment horizontal="right"/>
      <protection hidden="1"/>
    </xf>
    <xf numFmtId="1" fontId="194" fillId="0" borderId="53" xfId="46" applyNumberFormat="1" applyFont="1" applyBorder="1" applyAlignment="1" applyProtection="1">
      <alignment horizontal="center"/>
      <protection hidden="1"/>
    </xf>
    <xf numFmtId="0" fontId="3" fillId="0" borderId="107" xfId="46" applyFont="1" applyBorder="1" applyAlignment="1">
      <alignment/>
      <protection/>
    </xf>
    <xf numFmtId="0" fontId="8" fillId="0" borderId="108" xfId="46" applyFont="1" applyBorder="1" applyAlignment="1" applyProtection="1">
      <alignment horizontal="center" vertical="center"/>
      <protection hidden="1"/>
    </xf>
    <xf numFmtId="0" fontId="9" fillId="0" borderId="0" xfId="46" applyFont="1" applyBorder="1" applyAlignment="1" applyProtection="1">
      <alignment horizontal="right"/>
      <protection hidden="1"/>
    </xf>
    <xf numFmtId="0" fontId="9" fillId="0" borderId="16" xfId="46" applyFont="1" applyBorder="1" applyAlignment="1" applyProtection="1">
      <alignment horizontal="right" vertical="center"/>
      <protection hidden="1"/>
    </xf>
    <xf numFmtId="0" fontId="9" fillId="0" borderId="109" xfId="46" applyFont="1" applyBorder="1" applyAlignment="1" applyProtection="1">
      <alignment vertical="center"/>
      <protection hidden="1"/>
    </xf>
    <xf numFmtId="0" fontId="9" fillId="0" borderId="110" xfId="46" applyFont="1" applyBorder="1" applyAlignment="1" applyProtection="1">
      <alignment vertical="center"/>
      <protection hidden="1"/>
    </xf>
    <xf numFmtId="0" fontId="57" fillId="0" borderId="0" xfId="46" applyFont="1" applyBorder="1" applyAlignment="1" applyProtection="1">
      <alignment/>
      <protection hidden="1"/>
    </xf>
    <xf numFmtId="14" fontId="3" fillId="0" borderId="0" xfId="46" applyNumberFormat="1" applyFont="1" applyFill="1" applyBorder="1" applyAlignment="1">
      <alignment/>
      <protection/>
    </xf>
    <xf numFmtId="0" fontId="143" fillId="0" borderId="0" xfId="46" applyFont="1" applyBorder="1" applyAlignment="1" applyProtection="1">
      <alignment/>
      <protection hidden="1"/>
    </xf>
    <xf numFmtId="0" fontId="17" fillId="4" borderId="0" xfId="46" applyFont="1" applyFill="1" applyBorder="1" applyAlignment="1" applyProtection="1">
      <alignment vertical="center"/>
      <protection hidden="1"/>
    </xf>
    <xf numFmtId="0" fontId="17" fillId="4" borderId="0" xfId="46" applyFont="1" applyFill="1" applyBorder="1" applyAlignment="1" applyProtection="1">
      <alignment vertical="center"/>
      <protection hidden="1" locked="0"/>
    </xf>
    <xf numFmtId="0" fontId="1" fillId="4" borderId="0" xfId="46" applyFill="1" applyBorder="1" applyAlignment="1" applyProtection="1">
      <alignment vertical="center"/>
      <protection hidden="1" locked="0"/>
    </xf>
    <xf numFmtId="0" fontId="1" fillId="4" borderId="0" xfId="46" applyFill="1" applyBorder="1" applyProtection="1">
      <alignment/>
      <protection hidden="1" locked="0"/>
    </xf>
    <xf numFmtId="0" fontId="25" fillId="4" borderId="0" xfId="46" applyFont="1" applyFill="1" applyBorder="1" applyAlignment="1" applyProtection="1">
      <alignment horizontal="left" vertical="center"/>
      <protection hidden="1"/>
    </xf>
    <xf numFmtId="0" fontId="17" fillId="0" borderId="40" xfId="46" applyFont="1" applyBorder="1" applyAlignment="1">
      <alignment vertical="center"/>
      <protection/>
    </xf>
    <xf numFmtId="0" fontId="3" fillId="39" borderId="0" xfId="46" applyFont="1" applyFill="1" applyProtection="1">
      <alignment/>
      <protection hidden="1" locked="0"/>
    </xf>
    <xf numFmtId="0" fontId="27" fillId="0" borderId="53" xfId="46" applyFont="1" applyBorder="1" applyAlignment="1" applyProtection="1">
      <alignment horizontal="center" vertical="center" wrapText="1"/>
      <protection hidden="1" locked="0"/>
    </xf>
    <xf numFmtId="14" fontId="14" fillId="0" borderId="0" xfId="46" applyNumberFormat="1" applyFont="1">
      <alignment/>
      <protection/>
    </xf>
    <xf numFmtId="0" fontId="22" fillId="0" borderId="53" xfId="46" applyFont="1" applyBorder="1" applyAlignment="1" applyProtection="1">
      <alignment horizontal="center" vertical="center" wrapText="1"/>
      <protection hidden="1" locked="0"/>
    </xf>
    <xf numFmtId="172" fontId="15" fillId="0" borderId="53" xfId="46" applyNumberFormat="1" applyFont="1" applyBorder="1" applyAlignment="1" applyProtection="1">
      <alignment horizontal="center" vertical="center"/>
      <protection hidden="1" locked="0"/>
    </xf>
    <xf numFmtId="174" fontId="9" fillId="0" borderId="29" xfId="46" applyNumberFormat="1" applyFont="1" applyFill="1" applyBorder="1" applyAlignment="1" applyProtection="1">
      <alignment horizontal="center" vertical="center"/>
      <protection hidden="1"/>
    </xf>
    <xf numFmtId="0" fontId="14" fillId="0" borderId="53" xfId="46" applyFont="1" applyBorder="1" applyAlignment="1" applyProtection="1">
      <alignment horizontal="center" vertical="center" wrapText="1"/>
      <protection hidden="1"/>
    </xf>
    <xf numFmtId="0" fontId="5" fillId="0" borderId="53" xfId="46" applyFont="1" applyBorder="1" applyAlignment="1">
      <alignment horizontal="center" vertical="center"/>
      <protection/>
    </xf>
    <xf numFmtId="0" fontId="14" fillId="0" borderId="53" xfId="46" applyFont="1" applyBorder="1" applyAlignment="1">
      <alignment horizontal="center" vertical="center"/>
      <protection/>
    </xf>
    <xf numFmtId="14" fontId="20" fillId="0" borderId="0" xfId="46" applyNumberFormat="1" applyFont="1">
      <alignment/>
      <protection/>
    </xf>
    <xf numFmtId="0" fontId="28" fillId="0" borderId="53" xfId="46" applyFont="1" applyBorder="1" applyAlignment="1" applyProtection="1">
      <alignment horizontal="center"/>
      <protection hidden="1" locked="0"/>
    </xf>
    <xf numFmtId="0" fontId="28" fillId="0" borderId="0" xfId="46" applyFont="1" applyBorder="1" applyAlignment="1" applyProtection="1">
      <alignment horizontal="center"/>
      <protection hidden="1"/>
    </xf>
    <xf numFmtId="0" fontId="28" fillId="0" borderId="66" xfId="46" applyFont="1" applyBorder="1" applyAlignment="1" applyProtection="1">
      <alignment horizontal="center"/>
      <protection hidden="1"/>
    </xf>
    <xf numFmtId="0" fontId="28" fillId="0" borderId="16" xfId="46" applyFont="1" applyBorder="1" applyAlignment="1" applyProtection="1">
      <alignment horizontal="center"/>
      <protection hidden="1"/>
    </xf>
    <xf numFmtId="0" fontId="28" fillId="0" borderId="71" xfId="46" applyFont="1" applyBorder="1" applyAlignment="1" applyProtection="1">
      <alignment horizontal="center"/>
      <protection hidden="1"/>
    </xf>
    <xf numFmtId="0" fontId="28" fillId="0" borderId="81" xfId="46" applyFont="1" applyBorder="1" applyAlignment="1" applyProtection="1">
      <alignment horizontal="center"/>
      <protection hidden="1"/>
    </xf>
    <xf numFmtId="0" fontId="28" fillId="0" borderId="72" xfId="46" applyFont="1" applyBorder="1" applyAlignment="1" applyProtection="1">
      <alignment horizontal="center"/>
      <protection hidden="1"/>
    </xf>
    <xf numFmtId="0" fontId="28" fillId="0" borderId="111" xfId="46" applyFont="1" applyBorder="1" applyAlignment="1" applyProtection="1">
      <alignment horizontal="center"/>
      <protection hidden="1"/>
    </xf>
    <xf numFmtId="0" fontId="28" fillId="0" borderId="11" xfId="46" applyFont="1" applyBorder="1" applyAlignment="1" applyProtection="1">
      <alignment horizontal="center"/>
      <protection hidden="1"/>
    </xf>
    <xf numFmtId="0" fontId="28" fillId="0" borderId="112" xfId="46" applyFont="1" applyBorder="1" applyProtection="1">
      <alignment/>
      <protection hidden="1"/>
    </xf>
    <xf numFmtId="0" fontId="28" fillId="0" borderId="113" xfId="46" applyFont="1" applyBorder="1" applyProtection="1">
      <alignment/>
      <protection hidden="1"/>
    </xf>
    <xf numFmtId="0" fontId="5" fillId="0" borderId="0" xfId="46" applyFont="1" applyBorder="1" applyAlignment="1" applyProtection="1">
      <alignment/>
      <protection hidden="1"/>
    </xf>
    <xf numFmtId="0" fontId="9" fillId="0" borderId="66" xfId="46" applyFont="1" applyBorder="1" applyAlignment="1" applyProtection="1">
      <alignment horizontal="right" vertical="center"/>
      <protection hidden="1"/>
    </xf>
    <xf numFmtId="0" fontId="9" fillId="0" borderId="16" xfId="46" applyFont="1" applyBorder="1" applyAlignment="1" applyProtection="1">
      <alignment horizontal="right" vertical="center"/>
      <protection hidden="1"/>
    </xf>
    <xf numFmtId="0" fontId="3" fillId="0" borderId="0" xfId="46" applyNumberFormat="1" applyFont="1" applyFill="1" applyBorder="1" applyAlignment="1">
      <alignment/>
      <protection/>
    </xf>
    <xf numFmtId="0" fontId="3" fillId="39" borderId="0" xfId="46" applyNumberFormat="1" applyFont="1" applyFill="1" applyBorder="1" applyProtection="1">
      <alignment/>
      <protection locked="0"/>
    </xf>
    <xf numFmtId="0" fontId="22" fillId="0" borderId="82" xfId="46" applyFont="1" applyBorder="1" applyAlignment="1" applyProtection="1">
      <alignment horizontal="center" vertical="center" wrapText="1"/>
      <protection hidden="1"/>
    </xf>
    <xf numFmtId="0" fontId="22" fillId="0" borderId="27" xfId="46" applyFont="1" applyBorder="1" applyAlignment="1" applyProtection="1">
      <alignment horizontal="center" vertical="center"/>
      <protection hidden="1"/>
    </xf>
    <xf numFmtId="0" fontId="22" fillId="0" borderId="23" xfId="46" applyFont="1" applyBorder="1" applyAlignment="1" applyProtection="1">
      <alignment horizontal="center" vertical="center"/>
      <protection hidden="1"/>
    </xf>
    <xf numFmtId="0" fontId="22" fillId="0" borderId="25" xfId="46" applyFont="1" applyBorder="1" applyAlignment="1" applyProtection="1">
      <alignment horizontal="center" vertical="center"/>
      <protection hidden="1"/>
    </xf>
    <xf numFmtId="0" fontId="62" fillId="0" borderId="0" xfId="46" applyFont="1" applyFill="1" applyBorder="1" applyAlignment="1" applyProtection="1">
      <alignment horizontal="left"/>
      <protection hidden="1"/>
    </xf>
    <xf numFmtId="0" fontId="28" fillId="0" borderId="66" xfId="46" applyFont="1" applyBorder="1" applyAlignment="1" applyProtection="1">
      <alignment horizontal="center"/>
      <protection hidden="1"/>
    </xf>
    <xf numFmtId="0" fontId="28" fillId="0" borderId="17" xfId="46" applyFont="1" applyBorder="1" applyAlignment="1" applyProtection="1">
      <alignment horizontal="center"/>
      <protection hidden="1"/>
    </xf>
    <xf numFmtId="0" fontId="5" fillId="0" borderId="0" xfId="46" applyFont="1" applyBorder="1" applyAlignment="1" applyProtection="1">
      <alignment horizontal="left"/>
      <protection hidden="1"/>
    </xf>
    <xf numFmtId="0" fontId="14" fillId="0" borderId="0" xfId="46" applyFont="1" applyBorder="1" applyAlignment="1" applyProtection="1">
      <alignment horizontal="left"/>
      <protection hidden="1"/>
    </xf>
    <xf numFmtId="0" fontId="5" fillId="0" borderId="77" xfId="46" applyFont="1" applyBorder="1" applyAlignment="1" applyProtection="1">
      <alignment horizontal="center"/>
      <protection hidden="1"/>
    </xf>
    <xf numFmtId="0" fontId="5" fillId="0" borderId="0" xfId="46" applyFont="1" applyBorder="1" applyAlignment="1" applyProtection="1">
      <alignment horizontal="center" vertical="top"/>
      <protection hidden="1"/>
    </xf>
    <xf numFmtId="3" fontId="20" fillId="0" borderId="114" xfId="46" applyNumberFormat="1" applyFont="1" applyBorder="1" applyAlignment="1" applyProtection="1">
      <alignment vertical="center"/>
      <protection hidden="1"/>
    </xf>
    <xf numFmtId="3" fontId="20" fillId="0" borderId="115" xfId="46" applyNumberFormat="1" applyFont="1" applyBorder="1" applyAlignment="1" applyProtection="1">
      <alignment vertical="center"/>
      <protection hidden="1"/>
    </xf>
    <xf numFmtId="0" fontId="27" fillId="0" borderId="114" xfId="46" applyFont="1" applyBorder="1" applyAlignment="1" applyProtection="1">
      <alignment vertical="center"/>
      <protection hidden="1"/>
    </xf>
    <xf numFmtId="174" fontId="5" fillId="0" borderId="18" xfId="46" applyNumberFormat="1" applyFont="1" applyBorder="1" applyAlignment="1" applyProtection="1">
      <alignment horizontal="center" vertical="center"/>
      <protection hidden="1"/>
    </xf>
    <xf numFmtId="174" fontId="14" fillId="0" borderId="14" xfId="46" applyNumberFormat="1" applyFont="1" applyBorder="1" applyAlignment="1" applyProtection="1">
      <alignment vertical="center"/>
      <protection hidden="1"/>
    </xf>
    <xf numFmtId="174" fontId="14" fillId="0" borderId="116" xfId="46" applyNumberFormat="1" applyFont="1" applyBorder="1" applyAlignment="1" applyProtection="1">
      <alignment vertical="center"/>
      <protection hidden="1"/>
    </xf>
    <xf numFmtId="174" fontId="5" fillId="0" borderId="18" xfId="46" applyNumberFormat="1" applyFont="1" applyBorder="1" applyAlignment="1" applyProtection="1">
      <alignment vertical="center"/>
      <protection hidden="1"/>
    </xf>
    <xf numFmtId="174" fontId="14" fillId="0" borderId="26" xfId="46" applyNumberFormat="1" applyFont="1" applyBorder="1" applyAlignment="1" applyProtection="1">
      <alignment vertical="center"/>
      <protection hidden="1"/>
    </xf>
    <xf numFmtId="174" fontId="14" fillId="0" borderId="100" xfId="46" applyNumberFormat="1" applyFont="1" applyBorder="1" applyAlignment="1" applyProtection="1">
      <alignment vertical="center"/>
      <protection hidden="1"/>
    </xf>
    <xf numFmtId="174" fontId="14" fillId="0" borderId="29" xfId="46" applyNumberFormat="1" applyFont="1" applyBorder="1" applyAlignment="1" applyProtection="1">
      <alignment vertical="center"/>
      <protection hidden="1"/>
    </xf>
    <xf numFmtId="174" fontId="14" fillId="0" borderId="117" xfId="46" applyNumberFormat="1" applyFont="1" applyBorder="1" applyAlignment="1" applyProtection="1">
      <alignment vertical="center"/>
      <protection hidden="1"/>
    </xf>
    <xf numFmtId="174" fontId="14" fillId="0" borderId="52" xfId="46" applyNumberFormat="1" applyFont="1" applyBorder="1" applyAlignment="1" applyProtection="1">
      <alignment vertical="center"/>
      <protection hidden="1"/>
    </xf>
    <xf numFmtId="174" fontId="14" fillId="0" borderId="10" xfId="46" applyNumberFormat="1" applyFont="1" applyBorder="1" applyAlignment="1" applyProtection="1">
      <alignment vertical="center"/>
      <protection hidden="1"/>
    </xf>
    <xf numFmtId="174" fontId="14" fillId="0" borderId="0" xfId="46" applyNumberFormat="1" applyFont="1" applyBorder="1" applyAlignment="1" applyProtection="1">
      <alignment vertical="center"/>
      <protection hidden="1"/>
    </xf>
    <xf numFmtId="174" fontId="22" fillId="0" borderId="14" xfId="46" applyNumberFormat="1" applyFont="1" applyBorder="1" applyAlignment="1" applyProtection="1">
      <alignment vertical="center"/>
      <protection hidden="1"/>
    </xf>
    <xf numFmtId="174" fontId="14" fillId="0" borderId="18" xfId="46" applyNumberFormat="1" applyFont="1" applyBorder="1" applyAlignment="1" applyProtection="1">
      <alignment vertical="center"/>
      <protection hidden="1"/>
    </xf>
    <xf numFmtId="0" fontId="3" fillId="0" borderId="0" xfId="46" applyNumberFormat="1" applyFont="1" applyAlignment="1">
      <alignment horizontal="center"/>
      <protection/>
    </xf>
    <xf numFmtId="0" fontId="0" fillId="0" borderId="0" xfId="42" applyNumberFormat="1" applyFont="1" applyAlignment="1">
      <alignment horizontal="left"/>
    </xf>
    <xf numFmtId="0" fontId="65" fillId="0" borderId="12" xfId="46" applyFont="1" applyBorder="1" applyAlignment="1" applyProtection="1">
      <alignment horizontal="center"/>
      <protection hidden="1"/>
    </xf>
    <xf numFmtId="0" fontId="65" fillId="0" borderId="0" xfId="46" applyFont="1" applyBorder="1" applyAlignment="1" applyProtection="1">
      <alignment vertical="center"/>
      <protection hidden="1"/>
    </xf>
    <xf numFmtId="0" fontId="65" fillId="0" borderId="10" xfId="46" applyFont="1" applyBorder="1" applyAlignment="1" applyProtection="1">
      <alignment vertical="center"/>
      <protection hidden="1"/>
    </xf>
    <xf numFmtId="0" fontId="65" fillId="0" borderId="0" xfId="46" applyFont="1" applyBorder="1" applyAlignment="1" applyProtection="1">
      <alignment/>
      <protection hidden="1"/>
    </xf>
    <xf numFmtId="0" fontId="65" fillId="0" borderId="0" xfId="46" applyFont="1" applyBorder="1" applyAlignment="1" applyProtection="1">
      <alignment horizontal="left"/>
      <protection hidden="1"/>
    </xf>
    <xf numFmtId="0" fontId="9" fillId="0" borderId="12" xfId="46" applyFont="1" applyBorder="1" applyAlignment="1" applyProtection="1">
      <alignment/>
      <protection hidden="1"/>
    </xf>
    <xf numFmtId="0" fontId="9" fillId="0" borderId="0" xfId="46" applyFont="1" applyBorder="1" applyAlignment="1" applyProtection="1">
      <alignment/>
      <protection hidden="1"/>
    </xf>
    <xf numFmtId="0" fontId="65" fillId="0" borderId="12" xfId="46" applyFont="1" applyBorder="1" applyAlignment="1" applyProtection="1">
      <alignment horizontal="center" vertical="center"/>
      <protection hidden="1"/>
    </xf>
    <xf numFmtId="0" fontId="65" fillId="0" borderId="0" xfId="46" applyFont="1" applyBorder="1" applyAlignment="1" applyProtection="1">
      <alignment horizontal="right" vertical="center"/>
      <protection hidden="1"/>
    </xf>
    <xf numFmtId="0" fontId="65" fillId="0" borderId="0" xfId="46" applyFont="1" applyBorder="1" applyAlignment="1" applyProtection="1">
      <alignment horizontal="left" vertical="center"/>
      <protection hidden="1"/>
    </xf>
    <xf numFmtId="0" fontId="65" fillId="0" borderId="12" xfId="46" applyFont="1" applyFill="1" applyBorder="1" applyAlignment="1" applyProtection="1">
      <alignment horizontal="center" vertical="center"/>
      <protection hidden="1"/>
    </xf>
    <xf numFmtId="0" fontId="65" fillId="0" borderId="0" xfId="46" applyFont="1" applyFill="1" applyBorder="1" applyAlignment="1" applyProtection="1">
      <alignment/>
      <protection hidden="1"/>
    </xf>
    <xf numFmtId="0" fontId="65" fillId="0" borderId="10" xfId="46" applyFont="1" applyFill="1" applyBorder="1" applyAlignment="1" applyProtection="1">
      <alignment/>
      <protection hidden="1"/>
    </xf>
    <xf numFmtId="0" fontId="67" fillId="0" borderId="0" xfId="46" applyFont="1" applyBorder="1" applyAlignment="1" applyProtection="1">
      <alignment/>
      <protection hidden="1"/>
    </xf>
    <xf numFmtId="0" fontId="68" fillId="0" borderId="0" xfId="46" applyFont="1" applyBorder="1" applyAlignment="1" applyProtection="1">
      <alignment vertical="center"/>
      <protection hidden="1"/>
    </xf>
    <xf numFmtId="3" fontId="70" fillId="0" borderId="12" xfId="46" applyNumberFormat="1" applyFont="1" applyBorder="1" applyAlignment="1" applyProtection="1">
      <alignment horizontal="right" vertical="center"/>
      <protection hidden="1"/>
    </xf>
    <xf numFmtId="3" fontId="66" fillId="0" borderId="0" xfId="46" applyNumberFormat="1" applyFont="1" applyBorder="1" applyAlignment="1" applyProtection="1">
      <alignment vertical="center"/>
      <protection hidden="1"/>
    </xf>
    <xf numFmtId="0" fontId="71" fillId="0" borderId="0" xfId="46" applyFont="1">
      <alignment/>
      <protection/>
    </xf>
    <xf numFmtId="3" fontId="66" fillId="0" borderId="12" xfId="46" applyNumberFormat="1" applyFont="1" applyBorder="1" applyAlignment="1" applyProtection="1">
      <alignment horizontal="right" vertical="center"/>
      <protection hidden="1"/>
    </xf>
    <xf numFmtId="3" fontId="66" fillId="0" borderId="69" xfId="46" applyNumberFormat="1" applyFont="1" applyBorder="1" applyAlignment="1" applyProtection="1">
      <alignment horizontal="right" vertical="center"/>
      <protection hidden="1"/>
    </xf>
    <xf numFmtId="0" fontId="66" fillId="0" borderId="69" xfId="46" applyFont="1" applyBorder="1" applyAlignment="1">
      <alignment horizontal="right"/>
      <protection/>
    </xf>
    <xf numFmtId="0" fontId="21" fillId="0" borderId="0" xfId="46" applyFont="1" applyBorder="1" applyAlignment="1" applyProtection="1">
      <alignment vertical="center"/>
      <protection hidden="1"/>
    </xf>
    <xf numFmtId="174" fontId="5" fillId="0" borderId="105" xfId="46" applyNumberFormat="1" applyFont="1" applyBorder="1" applyAlignment="1" applyProtection="1">
      <alignment horizontal="right"/>
      <protection hidden="1"/>
    </xf>
    <xf numFmtId="0" fontId="14" fillId="0" borderId="33" xfId="46" applyFont="1" applyBorder="1" applyAlignment="1" applyProtection="1">
      <alignment horizontal="right"/>
      <protection hidden="1"/>
    </xf>
    <xf numFmtId="0" fontId="70" fillId="0" borderId="0" xfId="0" applyFont="1" applyFill="1" applyBorder="1" applyAlignment="1" applyProtection="1">
      <alignment vertical="center"/>
      <protection hidden="1"/>
    </xf>
    <xf numFmtId="0" fontId="70" fillId="0" borderId="0" xfId="0" applyFont="1" applyFill="1" applyBorder="1" applyAlignment="1" applyProtection="1">
      <alignment/>
      <protection hidden="1"/>
    </xf>
    <xf numFmtId="0" fontId="5" fillId="0" borderId="0" xfId="46" applyFont="1" applyBorder="1" applyProtection="1">
      <alignment/>
      <protection hidden="1"/>
    </xf>
    <xf numFmtId="0" fontId="5" fillId="0" borderId="0" xfId="46" applyFont="1" applyBorder="1" applyAlignment="1" applyProtection="1">
      <alignment horizontal="left"/>
      <protection hidden="1"/>
    </xf>
    <xf numFmtId="174" fontId="19" fillId="0" borderId="0" xfId="46" applyNumberFormat="1" applyFont="1" applyBorder="1" applyProtection="1">
      <alignment/>
      <protection hidden="1"/>
    </xf>
    <xf numFmtId="0" fontId="64" fillId="0" borderId="0" xfId="46" applyFont="1" applyBorder="1" applyAlignment="1" applyProtection="1">
      <alignment horizontal="left"/>
      <protection hidden="1"/>
    </xf>
    <xf numFmtId="0" fontId="64" fillId="0" borderId="0" xfId="46" applyFont="1" applyBorder="1" applyAlignment="1" applyProtection="1">
      <alignment/>
      <protection hidden="1"/>
    </xf>
    <xf numFmtId="0" fontId="64" fillId="0" borderId="0" xfId="46" applyFont="1" applyBorder="1" applyProtection="1">
      <alignment/>
      <protection hidden="1"/>
    </xf>
    <xf numFmtId="174" fontId="64" fillId="0" borderId="0" xfId="46" applyNumberFormat="1" applyFont="1" applyBorder="1" applyProtection="1">
      <alignment/>
      <protection hidden="1" locked="0"/>
    </xf>
    <xf numFmtId="174" fontId="23" fillId="0" borderId="18" xfId="46" applyNumberFormat="1" applyFont="1" applyBorder="1" applyAlignment="1" applyProtection="1">
      <alignment horizontal="center" vertical="center"/>
      <protection hidden="1"/>
    </xf>
    <xf numFmtId="0" fontId="25" fillId="0" borderId="0" xfId="46" applyFont="1" applyBorder="1" applyAlignment="1" applyProtection="1">
      <alignment vertical="center"/>
      <protection hidden="1"/>
    </xf>
    <xf numFmtId="0" fontId="28" fillId="0" borderId="0" xfId="46" applyFont="1" applyBorder="1" applyAlignment="1" applyProtection="1">
      <alignment horizontal="center"/>
      <protection hidden="1"/>
    </xf>
    <xf numFmtId="0" fontId="73" fillId="0" borderId="79" xfId="0" applyFont="1" applyBorder="1" applyAlignment="1" applyProtection="1">
      <alignment horizontal="center" vertical="center"/>
      <protection hidden="1"/>
    </xf>
    <xf numFmtId="0" fontId="73" fillId="0" borderId="69" xfId="0" applyFont="1" applyBorder="1" applyAlignment="1" applyProtection="1">
      <alignment horizontal="center" vertical="center"/>
      <protection hidden="1"/>
    </xf>
    <xf numFmtId="0" fontId="3" fillId="0" borderId="0" xfId="46" applyFont="1" applyBorder="1" applyAlignment="1" applyProtection="1">
      <alignment horizontal="center" vertical="center"/>
      <protection hidden="1"/>
    </xf>
    <xf numFmtId="0" fontId="39" fillId="0" borderId="0" xfId="46" applyFont="1" applyBorder="1" applyAlignment="1" applyProtection="1">
      <alignment horizontal="left" vertical="center"/>
      <protection hidden="1"/>
    </xf>
    <xf numFmtId="0" fontId="3" fillId="51" borderId="65" xfId="46" applyFont="1" applyFill="1" applyBorder="1" applyAlignment="1" applyProtection="1">
      <alignment horizontal="center" vertical="center"/>
      <protection hidden="1"/>
    </xf>
    <xf numFmtId="0" fontId="48" fillId="51" borderId="58" xfId="46" applyFont="1" applyFill="1" applyBorder="1" applyAlignment="1" applyProtection="1">
      <alignment horizontal="center"/>
      <protection hidden="1"/>
    </xf>
    <xf numFmtId="0" fontId="48" fillId="51" borderId="65" xfId="46" applyFont="1" applyFill="1" applyBorder="1" applyAlignment="1" applyProtection="1">
      <alignment horizontal="center"/>
      <protection hidden="1"/>
    </xf>
    <xf numFmtId="172" fontId="14" fillId="52" borderId="57" xfId="46" applyNumberFormat="1" applyFont="1" applyFill="1" applyBorder="1" applyAlignment="1" applyProtection="1">
      <alignment horizontal="center" vertical="center"/>
      <protection hidden="1" locked="0"/>
    </xf>
    <xf numFmtId="0" fontId="3" fillId="51" borderId="118" xfId="46" applyFont="1" applyFill="1" applyBorder="1" applyAlignment="1" applyProtection="1">
      <alignment horizontal="center" vertical="center"/>
      <protection hidden="1"/>
    </xf>
    <xf numFmtId="0" fontId="3" fillId="51" borderId="119" xfId="46" applyFont="1" applyFill="1" applyBorder="1" applyAlignment="1" applyProtection="1">
      <alignment horizontal="center" vertical="center"/>
      <protection hidden="1"/>
    </xf>
    <xf numFmtId="0" fontId="3" fillId="51" borderId="120" xfId="46" applyFont="1" applyFill="1" applyBorder="1" applyAlignment="1" applyProtection="1">
      <alignment horizontal="center" vertical="center"/>
      <protection hidden="1"/>
    </xf>
    <xf numFmtId="0" fontId="3" fillId="51" borderId="21" xfId="46" applyFont="1" applyFill="1" applyBorder="1" applyAlignment="1" applyProtection="1">
      <alignment horizontal="center" vertical="center"/>
      <protection hidden="1"/>
    </xf>
    <xf numFmtId="0" fontId="46" fillId="53" borderId="121" xfId="46" applyFont="1" applyFill="1" applyBorder="1" applyAlignment="1" applyProtection="1">
      <alignment horizontal="center" vertical="center"/>
      <protection hidden="1"/>
    </xf>
    <xf numFmtId="0" fontId="46" fillId="53" borderId="122" xfId="46" applyFont="1" applyFill="1" applyBorder="1" applyAlignment="1" applyProtection="1">
      <alignment horizontal="center" vertical="center"/>
      <protection hidden="1"/>
    </xf>
    <xf numFmtId="0" fontId="3" fillId="0" borderId="123" xfId="46" applyFont="1" applyBorder="1" applyAlignment="1" applyProtection="1">
      <alignment horizontal="center" vertical="center"/>
      <protection hidden="1" locked="0"/>
    </xf>
    <xf numFmtId="0" fontId="36" fillId="19" borderId="124" xfId="0" applyFont="1" applyFill="1" applyBorder="1" applyAlignment="1" applyProtection="1">
      <alignment/>
      <protection locked="0"/>
    </xf>
    <xf numFmtId="49" fontId="36" fillId="19" borderId="125" xfId="0" applyNumberFormat="1" applyFont="1" applyFill="1" applyBorder="1" applyAlignment="1">
      <alignment/>
    </xf>
    <xf numFmtId="0" fontId="3" fillId="11" borderId="126" xfId="46" applyFont="1" applyFill="1" applyBorder="1">
      <alignment/>
      <protection/>
    </xf>
    <xf numFmtId="0" fontId="3" fillId="16" borderId="16" xfId="46" applyFont="1" applyFill="1" applyBorder="1" applyAlignment="1" applyProtection="1">
      <alignment horizontal="center" vertical="center"/>
      <protection hidden="1"/>
    </xf>
    <xf numFmtId="0" fontId="3" fillId="0" borderId="105" xfId="46" applyFont="1" applyFill="1" applyBorder="1" applyAlignment="1" applyProtection="1">
      <alignment horizontal="center" vertical="center"/>
      <protection hidden="1"/>
    </xf>
    <xf numFmtId="0" fontId="3" fillId="0" borderId="127" xfId="46" applyFont="1" applyBorder="1">
      <alignment/>
      <protection/>
    </xf>
    <xf numFmtId="0" fontId="3" fillId="0" borderId="128" xfId="46" applyFont="1" applyBorder="1">
      <alignment/>
      <protection/>
    </xf>
    <xf numFmtId="0" fontId="3" fillId="0" borderId="129" xfId="46" applyFont="1" applyBorder="1">
      <alignment/>
      <protection/>
    </xf>
    <xf numFmtId="0" fontId="3" fillId="0" borderId="130" xfId="46" applyFont="1" applyBorder="1">
      <alignment/>
      <protection/>
    </xf>
    <xf numFmtId="0" fontId="3" fillId="0" borderId="131" xfId="46" applyFont="1" applyBorder="1">
      <alignment/>
      <protection/>
    </xf>
    <xf numFmtId="0" fontId="3" fillId="0" borderId="132" xfId="46" applyFont="1" applyBorder="1">
      <alignment/>
      <protection/>
    </xf>
    <xf numFmtId="0" fontId="195" fillId="54" borderId="133" xfId="46" applyFont="1" applyFill="1" applyBorder="1" applyAlignment="1" applyProtection="1">
      <alignment vertical="center"/>
      <protection hidden="1"/>
    </xf>
    <xf numFmtId="0" fontId="195" fillId="54" borderId="134" xfId="46" applyFont="1" applyFill="1" applyBorder="1" applyAlignment="1" applyProtection="1">
      <alignment vertical="center"/>
      <protection hidden="1"/>
    </xf>
    <xf numFmtId="0" fontId="195" fillId="54" borderId="124" xfId="46" applyFont="1" applyFill="1" applyBorder="1" applyAlignment="1" applyProtection="1">
      <alignment vertical="center"/>
      <protection hidden="1"/>
    </xf>
    <xf numFmtId="0" fontId="195" fillId="54" borderId="135" xfId="46" applyFont="1" applyFill="1" applyBorder="1" applyAlignment="1" applyProtection="1">
      <alignment vertical="center"/>
      <protection hidden="1"/>
    </xf>
    <xf numFmtId="0" fontId="195" fillId="54" borderId="136" xfId="46" applyFont="1" applyFill="1" applyBorder="1" applyAlignment="1" applyProtection="1">
      <alignment vertical="center"/>
      <protection hidden="1"/>
    </xf>
    <xf numFmtId="0" fontId="37" fillId="55" borderId="137" xfId="46" applyFont="1" applyFill="1" applyBorder="1" applyAlignment="1" applyProtection="1">
      <alignment/>
      <protection hidden="1"/>
    </xf>
    <xf numFmtId="182" fontId="66" fillId="56" borderId="138" xfId="46" applyNumberFormat="1" applyFont="1" applyFill="1" applyBorder="1" applyAlignment="1" applyProtection="1">
      <alignment vertical="center"/>
      <protection hidden="1"/>
    </xf>
    <xf numFmtId="0" fontId="66" fillId="56" borderId="139" xfId="46" applyFont="1" applyFill="1" applyBorder="1" applyAlignment="1" applyProtection="1">
      <alignment vertical="center" wrapText="1"/>
      <protection hidden="1"/>
    </xf>
    <xf numFmtId="0" fontId="0" fillId="0" borderId="0" xfId="0" applyAlignment="1" applyProtection="1">
      <alignment/>
      <protection hidden="1"/>
    </xf>
    <xf numFmtId="0" fontId="0" fillId="0" borderId="0" xfId="0" applyAlignment="1" applyProtection="1">
      <alignment horizontal="center"/>
      <protection hidden="1"/>
    </xf>
    <xf numFmtId="0" fontId="0" fillId="10" borderId="0" xfId="0" applyFill="1" applyAlignment="1">
      <alignment/>
    </xf>
    <xf numFmtId="0" fontId="79" fillId="10" borderId="65" xfId="0" applyFont="1" applyFill="1" applyBorder="1" applyAlignment="1">
      <alignment/>
    </xf>
    <xf numFmtId="0" fontId="80" fillId="10" borderId="0" xfId="0" applyFont="1" applyFill="1" applyAlignment="1">
      <alignment/>
    </xf>
    <xf numFmtId="0" fontId="79" fillId="10" borderId="0" xfId="0" applyFont="1" applyFill="1" applyBorder="1" applyAlignment="1">
      <alignment/>
    </xf>
    <xf numFmtId="0" fontId="83" fillId="0" borderId="140" xfId="0" applyFont="1" applyBorder="1" applyAlignment="1" applyProtection="1">
      <alignment horizontal="left"/>
      <protection hidden="1"/>
    </xf>
    <xf numFmtId="0" fontId="70" fillId="0" borderId="141" xfId="0" applyFont="1" applyBorder="1" applyAlignment="1" applyProtection="1">
      <alignment horizontal="left" vertical="center"/>
      <protection hidden="1"/>
    </xf>
    <xf numFmtId="0" fontId="83" fillId="0" borderId="0" xfId="0" applyFont="1" applyBorder="1" applyAlignment="1" applyProtection="1">
      <alignment horizontal="center"/>
      <protection hidden="1"/>
    </xf>
    <xf numFmtId="0" fontId="196" fillId="0" borderId="0" xfId="0" applyFont="1" applyAlignment="1" applyProtection="1">
      <alignment/>
      <protection hidden="1"/>
    </xf>
    <xf numFmtId="0" fontId="197" fillId="0" borderId="0" xfId="54" applyFont="1" applyBorder="1" applyAlignment="1" applyProtection="1">
      <alignment vertical="center"/>
      <protection hidden="1"/>
    </xf>
    <xf numFmtId="0" fontId="196" fillId="10" borderId="0" xfId="0" applyFont="1" applyFill="1" applyAlignment="1">
      <alignment/>
    </xf>
    <xf numFmtId="0" fontId="196" fillId="0" borderId="0" xfId="0" applyFont="1" applyAlignment="1">
      <alignment/>
    </xf>
    <xf numFmtId="0" fontId="4" fillId="0" borderId="0" xfId="54">
      <alignment/>
      <protection/>
    </xf>
    <xf numFmtId="0" fontId="198" fillId="0" borderId="0" xfId="0" applyFont="1" applyAlignment="1" applyProtection="1">
      <alignment horizontal="center"/>
      <protection hidden="1"/>
    </xf>
    <xf numFmtId="0" fontId="199" fillId="0" borderId="0" xfId="0" applyFont="1" applyAlignment="1" applyProtection="1">
      <alignment/>
      <protection hidden="1"/>
    </xf>
    <xf numFmtId="0" fontId="199" fillId="10" borderId="0" xfId="0" applyFont="1" applyFill="1" applyAlignment="1">
      <alignment/>
    </xf>
    <xf numFmtId="0" fontId="199" fillId="0" borderId="0" xfId="0" applyFont="1" applyAlignment="1">
      <alignment/>
    </xf>
    <xf numFmtId="0" fontId="198" fillId="0" borderId="0" xfId="54" applyFont="1" applyFill="1" applyBorder="1" applyAlignment="1" applyProtection="1">
      <alignment horizontal="center"/>
      <protection hidden="1"/>
    </xf>
    <xf numFmtId="0" fontId="200" fillId="6" borderId="0" xfId="54" applyFont="1" applyFill="1" applyBorder="1" applyAlignment="1" applyProtection="1">
      <alignment horizontal="center"/>
      <protection hidden="1"/>
    </xf>
    <xf numFmtId="0" fontId="86" fillId="57" borderId="142" xfId="0" applyFont="1" applyFill="1" applyBorder="1" applyAlignment="1" applyProtection="1">
      <alignment horizontal="center"/>
      <protection hidden="1"/>
    </xf>
    <xf numFmtId="0" fontId="201" fillId="0" borderId="143" xfId="0" applyFont="1" applyFill="1" applyBorder="1" applyAlignment="1" applyProtection="1">
      <alignment horizontal="left"/>
      <protection hidden="1"/>
    </xf>
    <xf numFmtId="0" fontId="69" fillId="0" borderId="143" xfId="0" applyFont="1" applyFill="1" applyBorder="1" applyAlignment="1" applyProtection="1">
      <alignment horizontal="left"/>
      <protection hidden="1"/>
    </xf>
    <xf numFmtId="0" fontId="202" fillId="58" borderId="144" xfId="0" applyFont="1" applyFill="1" applyBorder="1" applyAlignment="1" applyProtection="1">
      <alignment horizontal="left"/>
      <protection hidden="1"/>
    </xf>
    <xf numFmtId="0" fontId="38" fillId="59" borderId="144" xfId="0" applyFont="1" applyFill="1" applyBorder="1" applyAlignment="1" applyProtection="1">
      <alignment horizontal="center" vertical="center"/>
      <protection hidden="1"/>
    </xf>
    <xf numFmtId="0" fontId="201" fillId="60" borderId="143" xfId="0" applyFont="1" applyFill="1" applyBorder="1" applyAlignment="1" applyProtection="1">
      <alignment horizontal="left"/>
      <protection hidden="1"/>
    </xf>
    <xf numFmtId="0" fontId="203" fillId="0" borderId="143" xfId="0" applyFont="1" applyFill="1" applyBorder="1" applyAlignment="1" applyProtection="1">
      <alignment horizontal="left"/>
      <protection hidden="1"/>
    </xf>
    <xf numFmtId="0" fontId="202" fillId="61" borderId="144" xfId="0" applyFont="1" applyFill="1" applyBorder="1" applyAlignment="1" applyProtection="1">
      <alignment horizontal="left"/>
      <protection hidden="1"/>
    </xf>
    <xf numFmtId="0" fontId="69" fillId="59" borderId="144" xfId="0" applyFont="1" applyFill="1" applyBorder="1" applyAlignment="1" applyProtection="1">
      <alignment horizontal="center" vertical="center"/>
      <protection hidden="1"/>
    </xf>
    <xf numFmtId="0" fontId="201" fillId="62" borderId="143" xfId="0" applyFont="1" applyFill="1" applyBorder="1" applyAlignment="1" applyProtection="1">
      <alignment horizontal="left"/>
      <protection hidden="1"/>
    </xf>
    <xf numFmtId="0" fontId="69" fillId="0" borderId="144" xfId="0" applyFont="1" applyFill="1" applyBorder="1" applyAlignment="1" applyProtection="1">
      <alignment horizontal="left"/>
      <protection hidden="1"/>
    </xf>
    <xf numFmtId="0" fontId="88" fillId="63" borderId="90" xfId="0" applyFont="1" applyFill="1" applyBorder="1" applyAlignment="1" applyProtection="1">
      <alignment horizontal="center"/>
      <protection hidden="1"/>
    </xf>
    <xf numFmtId="0" fontId="204" fillId="38" borderId="145" xfId="0" applyFont="1" applyFill="1" applyBorder="1" applyAlignment="1" applyProtection="1">
      <alignment/>
      <protection hidden="1"/>
    </xf>
    <xf numFmtId="197" fontId="83" fillId="38" borderId="0" xfId="0" applyNumberFormat="1" applyFont="1" applyFill="1" applyBorder="1" applyAlignment="1" applyProtection="1">
      <alignment horizontal="center" vertical="top" wrapText="1"/>
      <protection hidden="1"/>
    </xf>
    <xf numFmtId="0" fontId="0" fillId="0" borderId="0" xfId="0" applyAlignment="1" applyProtection="1">
      <alignment vertical="top"/>
      <protection hidden="1"/>
    </xf>
    <xf numFmtId="0" fontId="93" fillId="38" borderId="146" xfId="0" applyFont="1" applyFill="1" applyBorder="1" applyAlignment="1" applyProtection="1">
      <alignment horizontal="left" vertical="top" wrapText="1"/>
      <protection hidden="1"/>
    </xf>
    <xf numFmtId="0" fontId="0" fillId="10" borderId="0" xfId="0" applyFill="1" applyAlignment="1">
      <alignment vertical="top"/>
    </xf>
    <xf numFmtId="0" fontId="0" fillId="0" borderId="0" xfId="0" applyAlignment="1">
      <alignment vertical="top"/>
    </xf>
    <xf numFmtId="0" fontId="0" fillId="0" borderId="147" xfId="0" applyBorder="1" applyAlignment="1" applyProtection="1">
      <alignment horizontal="center" vertical="top"/>
      <protection hidden="1"/>
    </xf>
    <xf numFmtId="0" fontId="0" fillId="38" borderId="146" xfId="0" applyFill="1" applyBorder="1" applyAlignment="1" applyProtection="1">
      <alignment wrapText="1"/>
      <protection hidden="1"/>
    </xf>
    <xf numFmtId="0" fontId="0" fillId="0" borderId="148" xfId="0" applyBorder="1" applyAlignment="1" applyProtection="1">
      <alignment horizontal="center" vertical="top"/>
      <protection hidden="1"/>
    </xf>
    <xf numFmtId="0" fontId="205" fillId="38" borderId="145" xfId="0" applyFont="1" applyFill="1" applyBorder="1" applyAlignment="1" applyProtection="1">
      <alignment/>
      <protection hidden="1"/>
    </xf>
    <xf numFmtId="0" fontId="0" fillId="0" borderId="149" xfId="0" applyBorder="1" applyAlignment="1" applyProtection="1">
      <alignment horizontal="center"/>
      <protection hidden="1"/>
    </xf>
    <xf numFmtId="0" fontId="69" fillId="38" borderId="150" xfId="0" applyFont="1" applyFill="1" applyBorder="1" applyAlignment="1" applyProtection="1">
      <alignment wrapText="1"/>
      <protection hidden="1"/>
    </xf>
    <xf numFmtId="0" fontId="0" fillId="0" borderId="151" xfId="0" applyBorder="1" applyAlignment="1" applyProtection="1">
      <alignment horizontal="center"/>
      <protection hidden="1"/>
    </xf>
    <xf numFmtId="0" fontId="206" fillId="38" borderId="145" xfId="0" applyFont="1" applyFill="1" applyBorder="1" applyAlignment="1" applyProtection="1">
      <alignment/>
      <protection hidden="1"/>
    </xf>
    <xf numFmtId="0" fontId="0" fillId="0" borderId="152" xfId="0" applyBorder="1" applyAlignment="1" applyProtection="1">
      <alignment horizontal="center"/>
      <protection hidden="1"/>
    </xf>
    <xf numFmtId="0" fontId="69" fillId="38" borderId="145" xfId="0" applyFont="1" applyFill="1" applyBorder="1" applyAlignment="1" applyProtection="1">
      <alignment/>
      <protection hidden="1"/>
    </xf>
    <xf numFmtId="0" fontId="0" fillId="0" borderId="153" xfId="0" applyBorder="1" applyAlignment="1" applyProtection="1">
      <alignment horizontal="center"/>
      <protection hidden="1"/>
    </xf>
    <xf numFmtId="0" fontId="0" fillId="0" borderId="154" xfId="0" applyBorder="1" applyAlignment="1" applyProtection="1">
      <alignment horizontal="center"/>
      <protection hidden="1"/>
    </xf>
    <xf numFmtId="0" fontId="69" fillId="38" borderId="150" xfId="0" applyFont="1" applyFill="1" applyBorder="1" applyAlignment="1" applyProtection="1">
      <alignment/>
      <protection hidden="1"/>
    </xf>
    <xf numFmtId="0" fontId="93" fillId="38" borderId="0" xfId="0" applyFont="1" applyFill="1" applyBorder="1" applyAlignment="1" applyProtection="1">
      <alignment/>
      <protection hidden="1"/>
    </xf>
    <xf numFmtId="197" fontId="69" fillId="38" borderId="10" xfId="0" applyNumberFormat="1" applyFont="1" applyFill="1" applyBorder="1" applyAlignment="1" applyProtection="1">
      <alignment vertical="top" wrapText="1"/>
      <protection hidden="1"/>
    </xf>
    <xf numFmtId="0" fontId="0" fillId="0" borderId="155" xfId="0" applyBorder="1" applyAlignment="1" applyProtection="1">
      <alignment horizontal="center"/>
      <protection hidden="1"/>
    </xf>
    <xf numFmtId="197" fontId="69" fillId="64" borderId="156" xfId="0" applyNumberFormat="1" applyFont="1" applyFill="1" applyBorder="1" applyAlignment="1" applyProtection="1">
      <alignment vertical="top" wrapText="1"/>
      <protection hidden="1"/>
    </xf>
    <xf numFmtId="0" fontId="102" fillId="65" borderId="82" xfId="0" applyFont="1" applyFill="1" applyBorder="1" applyAlignment="1" applyProtection="1">
      <alignment horizontal="left" vertical="top" wrapText="1"/>
      <protection hidden="1"/>
    </xf>
    <xf numFmtId="0" fontId="102" fillId="65" borderId="83" xfId="0" applyFont="1" applyFill="1" applyBorder="1" applyAlignment="1" applyProtection="1">
      <alignment horizontal="center" vertical="center" wrapText="1"/>
      <protection hidden="1"/>
    </xf>
    <xf numFmtId="197" fontId="83" fillId="38" borderId="157" xfId="0" applyNumberFormat="1" applyFont="1" applyFill="1" applyBorder="1" applyAlignment="1" applyProtection="1">
      <alignment horizontal="center" vertical="top" wrapText="1"/>
      <protection hidden="1"/>
    </xf>
    <xf numFmtId="197" fontId="88" fillId="38" borderId="158" xfId="0" applyNumberFormat="1" applyFont="1" applyFill="1" applyBorder="1" applyAlignment="1" applyProtection="1">
      <alignment vertical="top" wrapText="1"/>
      <protection hidden="1"/>
    </xf>
    <xf numFmtId="197" fontId="83" fillId="38" borderId="159" xfId="0" applyNumberFormat="1" applyFont="1" applyFill="1" applyBorder="1" applyAlignment="1" applyProtection="1">
      <alignment horizontal="center" vertical="top" wrapText="1"/>
      <protection hidden="1"/>
    </xf>
    <xf numFmtId="197" fontId="88" fillId="38" borderId="160" xfId="0" applyNumberFormat="1" applyFont="1" applyFill="1" applyBorder="1" applyAlignment="1" applyProtection="1">
      <alignment vertical="top" wrapText="1"/>
      <protection hidden="1"/>
    </xf>
    <xf numFmtId="197" fontId="106" fillId="38" borderId="160" xfId="0" applyNumberFormat="1" applyFont="1" applyFill="1" applyBorder="1" applyAlignment="1" applyProtection="1">
      <alignment vertical="top" wrapText="1"/>
      <protection hidden="1"/>
    </xf>
    <xf numFmtId="197" fontId="83" fillId="64" borderId="161" xfId="0" applyNumberFormat="1" applyFont="1" applyFill="1" applyBorder="1" applyAlignment="1" applyProtection="1">
      <alignment vertical="top" wrapText="1"/>
      <protection hidden="1"/>
    </xf>
    <xf numFmtId="197" fontId="83" fillId="38" borderId="162" xfId="0" applyNumberFormat="1" applyFont="1" applyFill="1" applyBorder="1" applyAlignment="1" applyProtection="1">
      <alignment horizontal="center" vertical="top" wrapText="1"/>
      <protection hidden="1"/>
    </xf>
    <xf numFmtId="197" fontId="83" fillId="64" borderId="154" xfId="0" applyNumberFormat="1" applyFont="1" applyFill="1" applyBorder="1" applyAlignment="1" applyProtection="1">
      <alignment vertical="top" wrapText="1"/>
      <protection hidden="1"/>
    </xf>
    <xf numFmtId="197" fontId="83" fillId="64" borderId="163" xfId="0" applyNumberFormat="1" applyFont="1" applyFill="1" applyBorder="1" applyAlignment="1" applyProtection="1">
      <alignment vertical="top" wrapText="1"/>
      <protection hidden="1"/>
    </xf>
    <xf numFmtId="0" fontId="0" fillId="0" borderId="0" xfId="0" applyAlignment="1" applyProtection="1">
      <alignment/>
      <protection hidden="1"/>
    </xf>
    <xf numFmtId="197" fontId="106" fillId="38" borderId="160" xfId="0" applyNumberFormat="1" applyFont="1" applyFill="1" applyBorder="1" applyAlignment="1" applyProtection="1">
      <alignment wrapText="1"/>
      <protection hidden="1"/>
    </xf>
    <xf numFmtId="0" fontId="0" fillId="10" borderId="0" xfId="0" applyFill="1" applyAlignment="1">
      <alignment/>
    </xf>
    <xf numFmtId="0" fontId="0" fillId="0" borderId="0" xfId="0" applyAlignment="1">
      <alignment/>
    </xf>
    <xf numFmtId="197" fontId="106" fillId="0" borderId="160" xfId="0" applyNumberFormat="1" applyFont="1" applyBorder="1" applyAlignment="1" applyProtection="1">
      <alignment vertical="top" wrapText="1"/>
      <protection hidden="1"/>
    </xf>
    <xf numFmtId="0" fontId="83" fillId="0" borderId="140" xfId="0" applyFont="1" applyBorder="1" applyAlignment="1" applyProtection="1">
      <alignment horizontal="center"/>
      <protection hidden="1"/>
    </xf>
    <xf numFmtId="197" fontId="106" fillId="38" borderId="164" xfId="0" applyNumberFormat="1" applyFont="1" applyFill="1" applyBorder="1" applyAlignment="1" applyProtection="1">
      <alignment vertical="top" wrapText="1"/>
      <protection hidden="1"/>
    </xf>
    <xf numFmtId="197" fontId="106" fillId="38" borderId="165" xfId="0" applyNumberFormat="1" applyFont="1" applyFill="1" applyBorder="1" applyAlignment="1" applyProtection="1">
      <alignment vertical="top" wrapText="1"/>
      <protection hidden="1"/>
    </xf>
    <xf numFmtId="0" fontId="0" fillId="0" borderId="147" xfId="0" applyBorder="1" applyAlignment="1" applyProtection="1">
      <alignment horizontal="center" vertical="center"/>
      <protection hidden="1"/>
    </xf>
    <xf numFmtId="0" fontId="207" fillId="38" borderId="140" xfId="0" applyFont="1" applyFill="1" applyBorder="1" applyAlignment="1" applyProtection="1">
      <alignment horizontal="center" vertical="center"/>
      <protection hidden="1"/>
    </xf>
    <xf numFmtId="0" fontId="0" fillId="0" borderId="154" xfId="0" applyBorder="1" applyAlignment="1" applyProtection="1">
      <alignment horizontal="center" vertical="top"/>
      <protection hidden="1"/>
    </xf>
    <xf numFmtId="0" fontId="0" fillId="0" borderId="154" xfId="0" applyNumberFormat="1" applyBorder="1" applyAlignment="1" applyProtection="1">
      <alignment vertical="center" wrapText="1"/>
      <protection hidden="1"/>
    </xf>
    <xf numFmtId="0" fontId="0" fillId="0" borderId="147" xfId="0" applyBorder="1" applyAlignment="1" applyProtection="1">
      <alignment horizontal="center" vertical="top" wrapText="1"/>
      <protection hidden="1"/>
    </xf>
    <xf numFmtId="0" fontId="113" fillId="0" borderId="147"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top" wrapText="1"/>
      <protection hidden="1"/>
    </xf>
    <xf numFmtId="0" fontId="0" fillId="0" borderId="147" xfId="0" applyBorder="1" applyAlignment="1" applyProtection="1">
      <alignment vertical="center" wrapText="1"/>
      <protection hidden="1"/>
    </xf>
    <xf numFmtId="0" fontId="0" fillId="0" borderId="148" xfId="0" applyNumberFormat="1" applyBorder="1" applyAlignment="1" applyProtection="1">
      <alignment vertical="top" wrapText="1"/>
      <protection hidden="1"/>
    </xf>
    <xf numFmtId="0" fontId="0" fillId="0" borderId="0" xfId="0" applyAlignment="1" applyProtection="1">
      <alignment vertical="center" wrapText="1"/>
      <protection hidden="1"/>
    </xf>
    <xf numFmtId="0" fontId="0" fillId="0" borderId="147" xfId="0" applyBorder="1" applyAlignment="1" applyProtection="1">
      <alignment horizontal="left" vertical="top" wrapText="1"/>
      <protection hidden="1"/>
    </xf>
    <xf numFmtId="0" fontId="0" fillId="0" borderId="166" xfId="0" applyBorder="1" applyAlignment="1" applyProtection="1">
      <alignment horizontal="center" vertical="top"/>
      <protection hidden="1"/>
    </xf>
    <xf numFmtId="0" fontId="0" fillId="0" borderId="148" xfId="0" applyBorder="1" applyAlignment="1" applyProtection="1">
      <alignment vertical="center" wrapText="1"/>
      <protection hidden="1"/>
    </xf>
    <xf numFmtId="0" fontId="0" fillId="0" borderId="167" xfId="0" applyBorder="1" applyAlignment="1" applyProtection="1">
      <alignment horizontal="center" vertical="top"/>
      <protection hidden="1"/>
    </xf>
    <xf numFmtId="0" fontId="0" fillId="0" borderId="168" xfId="0" applyBorder="1" applyAlignment="1" applyProtection="1">
      <alignment vertical="center" wrapText="1"/>
      <protection hidden="1"/>
    </xf>
    <xf numFmtId="0" fontId="83" fillId="0" borderId="0" xfId="0" applyFont="1" applyAlignment="1" applyProtection="1">
      <alignment horizontal="center"/>
      <protection hidden="1"/>
    </xf>
    <xf numFmtId="0" fontId="88" fillId="65" borderId="169" xfId="0" applyFont="1" applyFill="1" applyBorder="1" applyAlignment="1" applyProtection="1">
      <alignment horizontal="center" vertical="top" wrapText="1"/>
      <protection hidden="1"/>
    </xf>
    <xf numFmtId="0" fontId="99" fillId="0" borderId="170" xfId="0" applyFont="1" applyBorder="1" applyAlignment="1" applyProtection="1">
      <alignment vertical="center" wrapText="1"/>
      <protection hidden="1"/>
    </xf>
    <xf numFmtId="0" fontId="0" fillId="10" borderId="0" xfId="0" applyFill="1" applyAlignment="1" applyProtection="1">
      <alignment/>
      <protection hidden="1"/>
    </xf>
    <xf numFmtId="0" fontId="0" fillId="10" borderId="0" xfId="0" applyFill="1" applyAlignment="1" applyProtection="1">
      <alignment horizontal="center"/>
      <protection hidden="1"/>
    </xf>
    <xf numFmtId="0" fontId="116" fillId="65" borderId="82" xfId="0" applyFont="1" applyFill="1" applyBorder="1" applyAlignment="1" applyProtection="1">
      <alignment horizontal="center" vertical="top" wrapText="1"/>
      <protection hidden="1"/>
    </xf>
    <xf numFmtId="0" fontId="208" fillId="66" borderId="53" xfId="54" applyFont="1" applyFill="1" applyBorder="1" applyAlignment="1" applyProtection="1">
      <alignment/>
      <protection hidden="1"/>
    </xf>
    <xf numFmtId="0" fontId="0" fillId="0" borderId="0" xfId="0" applyFill="1" applyAlignment="1" applyProtection="1">
      <alignment/>
      <protection hidden="1"/>
    </xf>
    <xf numFmtId="0" fontId="0" fillId="0" borderId="0" xfId="0" applyFill="1" applyAlignment="1" applyProtection="1">
      <alignment horizontal="center"/>
      <protection hidden="1"/>
    </xf>
    <xf numFmtId="0" fontId="0" fillId="0" borderId="0" xfId="0" applyFill="1" applyAlignment="1">
      <alignment/>
    </xf>
    <xf numFmtId="0" fontId="0" fillId="0" borderId="0" xfId="0" applyNumberFormat="1" applyAlignment="1" applyProtection="1">
      <alignment/>
      <protection hidden="1"/>
    </xf>
    <xf numFmtId="0" fontId="209" fillId="32" borderId="67" xfId="46" applyFont="1" applyFill="1" applyBorder="1" applyAlignment="1" applyProtection="1">
      <alignment horizontal="center"/>
      <protection hidden="1" locked="0"/>
    </xf>
    <xf numFmtId="0" fontId="209" fillId="32" borderId="105" xfId="46" applyFont="1" applyFill="1" applyBorder="1" applyAlignment="1" applyProtection="1">
      <alignment horizontal="center" vertical="center"/>
      <protection hidden="1" locked="0"/>
    </xf>
    <xf numFmtId="0" fontId="209" fillId="32" borderId="171" xfId="46" applyFont="1" applyFill="1" applyBorder="1" applyAlignment="1" applyProtection="1">
      <alignment horizontal="center" vertical="center"/>
      <protection hidden="1" locked="0"/>
    </xf>
    <xf numFmtId="0" fontId="209" fillId="32" borderId="56" xfId="46" applyFont="1" applyFill="1" applyBorder="1" applyAlignment="1" applyProtection="1">
      <alignment horizontal="center" vertical="center"/>
      <protection hidden="1" locked="0"/>
    </xf>
    <xf numFmtId="0" fontId="209" fillId="32" borderId="11" xfId="46" applyFont="1" applyFill="1" applyBorder="1" applyAlignment="1" applyProtection="1">
      <alignment horizontal="center" vertical="center"/>
      <protection hidden="1" locked="0"/>
    </xf>
    <xf numFmtId="0" fontId="209" fillId="32" borderId="19" xfId="46" applyFont="1" applyFill="1" applyBorder="1" applyAlignment="1" applyProtection="1">
      <alignment horizontal="center" vertical="center"/>
      <protection hidden="1" locked="0"/>
    </xf>
    <xf numFmtId="1" fontId="210" fillId="67" borderId="56" xfId="46" applyNumberFormat="1" applyFont="1" applyFill="1" applyBorder="1" applyAlignment="1" applyProtection="1">
      <alignment horizontal="center" vertical="center"/>
      <protection hidden="1" locked="0"/>
    </xf>
    <xf numFmtId="0" fontId="209" fillId="32" borderId="59" xfId="46" applyFont="1" applyFill="1" applyBorder="1" applyAlignment="1" applyProtection="1">
      <alignment horizontal="center" vertical="center"/>
      <protection hidden="1" locked="0"/>
    </xf>
    <xf numFmtId="0" fontId="209" fillId="32" borderId="59" xfId="46" applyFont="1" applyFill="1" applyBorder="1" applyAlignment="1" applyProtection="1">
      <alignment horizontal="center" vertical="center" wrapText="1"/>
      <protection hidden="1" locked="0"/>
    </xf>
    <xf numFmtId="0" fontId="209" fillId="32" borderId="76" xfId="46" applyFont="1" applyFill="1" applyBorder="1" applyAlignment="1" applyProtection="1">
      <alignment horizontal="center" vertical="center"/>
      <protection hidden="1" locked="0"/>
    </xf>
    <xf numFmtId="0" fontId="209" fillId="32" borderId="0" xfId="46" applyFont="1" applyFill="1" applyAlignment="1" applyProtection="1">
      <alignment horizontal="center" vertical="center"/>
      <protection hidden="1" locked="0"/>
    </xf>
    <xf numFmtId="0" fontId="9" fillId="0" borderId="12" xfId="46" applyFont="1" applyBorder="1" applyAlignment="1" applyProtection="1">
      <alignment horizontal="left"/>
      <protection hidden="1"/>
    </xf>
    <xf numFmtId="172" fontId="3" fillId="0" borderId="75" xfId="46" applyNumberFormat="1" applyFont="1" applyBorder="1">
      <alignment/>
      <protection/>
    </xf>
    <xf numFmtId="0" fontId="67" fillId="0" borderId="10" xfId="46" applyFont="1" applyBorder="1" applyAlignment="1" applyProtection="1">
      <alignment horizontal="left"/>
      <protection hidden="1"/>
    </xf>
    <xf numFmtId="181" fontId="3" fillId="0" borderId="172" xfId="46" applyNumberFormat="1" applyFont="1" applyBorder="1">
      <alignment/>
      <protection/>
    </xf>
    <xf numFmtId="181" fontId="3" fillId="0" borderId="128" xfId="46" applyNumberFormat="1" applyFont="1" applyBorder="1">
      <alignment/>
      <protection/>
    </xf>
    <xf numFmtId="0" fontId="3" fillId="39" borderId="0" xfId="46" applyFont="1" applyFill="1" applyBorder="1">
      <alignment/>
      <protection/>
    </xf>
    <xf numFmtId="0" fontId="3" fillId="0" borderId="0" xfId="46" applyFont="1" applyBorder="1" applyProtection="1">
      <alignment/>
      <protection locked="0"/>
    </xf>
    <xf numFmtId="0" fontId="211" fillId="39" borderId="0" xfId="46" applyFont="1" applyFill="1" applyBorder="1">
      <alignment/>
      <protection/>
    </xf>
    <xf numFmtId="0" fontId="3" fillId="0" borderId="173" xfId="46" applyFont="1" applyBorder="1">
      <alignment/>
      <protection/>
    </xf>
    <xf numFmtId="0" fontId="3" fillId="0" borderId="133" xfId="46" applyFont="1" applyBorder="1">
      <alignment/>
      <protection/>
    </xf>
    <xf numFmtId="0" fontId="3" fillId="0" borderId="174" xfId="46" applyFont="1" applyBorder="1">
      <alignment/>
      <protection/>
    </xf>
    <xf numFmtId="0" fontId="3" fillId="0" borderId="175" xfId="46" applyFont="1" applyBorder="1">
      <alignment/>
      <protection/>
    </xf>
    <xf numFmtId="0" fontId="3" fillId="0" borderId="176" xfId="46" applyFont="1" applyBorder="1">
      <alignment/>
      <protection/>
    </xf>
    <xf numFmtId="0" fontId="3" fillId="40" borderId="175" xfId="46" applyFont="1" applyFill="1" applyBorder="1" applyProtection="1">
      <alignment/>
      <protection locked="0"/>
    </xf>
    <xf numFmtId="0" fontId="3" fillId="40" borderId="176" xfId="46" applyFont="1" applyFill="1" applyBorder="1" applyProtection="1">
      <alignment/>
      <protection locked="0"/>
    </xf>
    <xf numFmtId="181" fontId="3" fillId="0" borderId="176" xfId="46" applyNumberFormat="1" applyFont="1" applyFill="1" applyBorder="1" applyProtection="1">
      <alignment/>
      <protection locked="0"/>
    </xf>
    <xf numFmtId="181" fontId="14" fillId="0" borderId="0" xfId="46" applyNumberFormat="1" applyFont="1" applyBorder="1">
      <alignment/>
      <protection/>
    </xf>
    <xf numFmtId="0" fontId="3" fillId="0" borderId="177" xfId="46" applyFont="1" applyBorder="1">
      <alignment/>
      <protection/>
    </xf>
    <xf numFmtId="181" fontId="14" fillId="0" borderId="178" xfId="46" applyNumberFormat="1" applyFont="1" applyBorder="1">
      <alignment/>
      <protection/>
    </xf>
    <xf numFmtId="0" fontId="3" fillId="0" borderId="179" xfId="46" applyFont="1" applyBorder="1">
      <alignment/>
      <protection/>
    </xf>
    <xf numFmtId="174" fontId="9" fillId="0" borderId="64" xfId="46" applyNumberFormat="1" applyFont="1" applyBorder="1" applyAlignment="1" applyProtection="1">
      <alignment horizontal="center" vertical="center"/>
      <protection hidden="1"/>
    </xf>
    <xf numFmtId="174" fontId="5" fillId="0" borderId="33" xfId="46" applyNumberFormat="1" applyFont="1" applyBorder="1" applyAlignment="1" applyProtection="1">
      <alignment horizontal="right"/>
      <protection hidden="1"/>
    </xf>
    <xf numFmtId="174" fontId="5" fillId="0" borderId="33" xfId="46" applyNumberFormat="1" applyFont="1" applyBorder="1" applyAlignment="1" applyProtection="1">
      <alignment horizontal="center"/>
      <protection hidden="1"/>
    </xf>
    <xf numFmtId="0" fontId="1" fillId="16" borderId="0" xfId="46" applyFill="1">
      <alignment/>
      <protection/>
    </xf>
    <xf numFmtId="0" fontId="13" fillId="16" borderId="0" xfId="46" applyFont="1" applyFill="1">
      <alignment/>
      <protection/>
    </xf>
    <xf numFmtId="0" fontId="15" fillId="16" borderId="0" xfId="46" applyFont="1" applyFill="1">
      <alignment/>
      <protection/>
    </xf>
    <xf numFmtId="0" fontId="22" fillId="16" borderId="0" xfId="46" applyFont="1" applyFill="1">
      <alignment/>
      <protection/>
    </xf>
    <xf numFmtId="0" fontId="15" fillId="0" borderId="0" xfId="46" applyFont="1" applyFill="1" applyProtection="1">
      <alignment/>
      <protection hidden="1"/>
    </xf>
    <xf numFmtId="0" fontId="22" fillId="0" borderId="0" xfId="46" applyFont="1" applyFill="1" applyProtection="1">
      <alignment/>
      <protection hidden="1"/>
    </xf>
    <xf numFmtId="0" fontId="1" fillId="0" borderId="0" xfId="46" applyFill="1">
      <alignment/>
      <protection/>
    </xf>
    <xf numFmtId="0" fontId="1" fillId="16" borderId="0" xfId="46" applyFill="1" applyAlignment="1">
      <alignment/>
      <protection/>
    </xf>
    <xf numFmtId="0" fontId="1" fillId="16" borderId="0" xfId="46" applyFill="1" applyProtection="1">
      <alignment/>
      <protection locked="0"/>
    </xf>
    <xf numFmtId="0" fontId="1" fillId="16" borderId="0" xfId="46" applyFill="1" applyAlignment="1" applyProtection="1">
      <alignment/>
      <protection hidden="1" locked="0"/>
    </xf>
    <xf numFmtId="0" fontId="212" fillId="16" borderId="0" xfId="46" applyFont="1" applyFill="1" applyProtection="1">
      <alignment/>
      <protection locked="0"/>
    </xf>
    <xf numFmtId="0" fontId="22" fillId="7" borderId="53" xfId="46" applyFont="1" applyFill="1" applyBorder="1" applyAlignment="1" applyProtection="1">
      <alignment horizontal="center" vertical="center" wrapText="1"/>
      <protection hidden="1"/>
    </xf>
    <xf numFmtId="0" fontId="22" fillId="7" borderId="53" xfId="46" applyFont="1" applyFill="1" applyBorder="1" applyAlignment="1" applyProtection="1">
      <alignment horizontal="center" vertical="center" wrapText="1"/>
      <protection hidden="1" locked="0"/>
    </xf>
    <xf numFmtId="0" fontId="14" fillId="7" borderId="53" xfId="46" applyFont="1" applyFill="1" applyBorder="1" applyAlignment="1" applyProtection="1">
      <alignment horizontal="center" vertical="center" wrapText="1"/>
      <protection hidden="1" locked="0"/>
    </xf>
    <xf numFmtId="0" fontId="52" fillId="7" borderId="53" xfId="46" applyFont="1" applyFill="1" applyBorder="1" applyAlignment="1" applyProtection="1">
      <alignment horizontal="center" vertical="center" wrapText="1"/>
      <protection hidden="1" locked="0"/>
    </xf>
    <xf numFmtId="0" fontId="15" fillId="7" borderId="53" xfId="46" applyFont="1" applyFill="1" applyBorder="1" applyAlignment="1" applyProtection="1">
      <alignment horizontal="center" vertical="center"/>
      <protection hidden="1"/>
    </xf>
    <xf numFmtId="0" fontId="37" fillId="7" borderId="53" xfId="46" applyFont="1" applyFill="1" applyBorder="1" applyAlignment="1" applyProtection="1">
      <alignment horizontal="center" vertical="center"/>
      <protection hidden="1" locked="0"/>
    </xf>
    <xf numFmtId="0" fontId="15" fillId="7" borderId="53" xfId="46" applyFont="1" applyFill="1" applyBorder="1" applyAlignment="1" applyProtection="1">
      <alignment horizontal="center" vertical="center"/>
      <protection hidden="1" locked="0"/>
    </xf>
    <xf numFmtId="174" fontId="213" fillId="0" borderId="28" xfId="46" applyNumberFormat="1" applyFont="1" applyFill="1" applyBorder="1" applyAlignment="1" applyProtection="1">
      <alignment horizontal="right" vertical="center"/>
      <protection hidden="1"/>
    </xf>
    <xf numFmtId="0" fontId="65" fillId="0" borderId="12" xfId="46" applyFont="1" applyBorder="1" applyAlignment="1" applyProtection="1">
      <alignment/>
      <protection hidden="1"/>
    </xf>
    <xf numFmtId="0" fontId="1" fillId="16" borderId="0" xfId="46" applyFill="1" applyAlignment="1">
      <alignment horizontal="center"/>
      <protection/>
    </xf>
    <xf numFmtId="182" fontId="214" fillId="16" borderId="0" xfId="46" applyNumberFormat="1" applyFont="1" applyFill="1">
      <alignment/>
      <protection/>
    </xf>
    <xf numFmtId="0" fontId="214" fillId="16" borderId="0" xfId="46" applyFont="1" applyFill="1">
      <alignment/>
      <protection/>
    </xf>
    <xf numFmtId="0" fontId="214" fillId="16" borderId="0" xfId="46" applyFont="1" applyFill="1">
      <alignment/>
      <protection/>
    </xf>
    <xf numFmtId="0" fontId="33" fillId="16" borderId="0" xfId="0" applyFont="1" applyFill="1" applyBorder="1" applyAlignment="1" applyProtection="1">
      <alignment horizontal="left" vertical="center"/>
      <protection hidden="1"/>
    </xf>
    <xf numFmtId="0" fontId="34" fillId="16" borderId="0" xfId="0" applyFont="1" applyFill="1" applyBorder="1" applyAlignment="1" applyProtection="1">
      <alignment vertical="center"/>
      <protection hidden="1"/>
    </xf>
    <xf numFmtId="0" fontId="212" fillId="16" borderId="0" xfId="46" applyFont="1" applyFill="1">
      <alignment/>
      <protection/>
    </xf>
    <xf numFmtId="0" fontId="205" fillId="0" borderId="0" xfId="0" applyFont="1" applyAlignment="1">
      <alignment/>
    </xf>
    <xf numFmtId="0" fontId="15" fillId="16" borderId="0" xfId="46" applyFont="1" applyFill="1">
      <alignment/>
      <protection/>
    </xf>
    <xf numFmtId="0" fontId="0" fillId="16" borderId="0" xfId="0" applyFill="1" applyAlignment="1">
      <alignment/>
    </xf>
    <xf numFmtId="0" fontId="215" fillId="16" borderId="0" xfId="0" applyFont="1" applyFill="1" applyAlignment="1">
      <alignment/>
    </xf>
    <xf numFmtId="0" fontId="1" fillId="16" borderId="0" xfId="46" applyNumberFormat="1" applyFill="1">
      <alignment/>
      <protection/>
    </xf>
    <xf numFmtId="0" fontId="52" fillId="13" borderId="66" xfId="46" applyFont="1" applyFill="1" applyBorder="1" applyAlignment="1" applyProtection="1">
      <alignment vertical="center"/>
      <protection hidden="1" locked="0"/>
    </xf>
    <xf numFmtId="0" fontId="69" fillId="56" borderId="180" xfId="0" applyFont="1" applyFill="1" applyBorder="1" applyAlignment="1" applyProtection="1">
      <alignment vertical="center"/>
      <protection hidden="1"/>
    </xf>
    <xf numFmtId="172" fontId="3" fillId="0" borderId="79" xfId="46" applyNumberFormat="1" applyFont="1" applyFill="1" applyBorder="1">
      <alignment/>
      <protection/>
    </xf>
    <xf numFmtId="0" fontId="3" fillId="0" borderId="80" xfId="46" applyFont="1" applyFill="1" applyBorder="1">
      <alignment/>
      <protection/>
    </xf>
    <xf numFmtId="14" fontId="3" fillId="0" borderId="80" xfId="46" applyNumberFormat="1" applyFont="1" applyFill="1" applyBorder="1">
      <alignment/>
      <protection/>
    </xf>
    <xf numFmtId="0" fontId="3" fillId="0" borderId="68" xfId="46" applyFont="1" applyFill="1" applyBorder="1">
      <alignment/>
      <protection/>
    </xf>
    <xf numFmtId="172" fontId="3" fillId="0" borderId="69" xfId="46" applyNumberFormat="1" applyFont="1" applyBorder="1">
      <alignment/>
      <protection/>
    </xf>
    <xf numFmtId="0" fontId="70" fillId="0" borderId="69" xfId="0" applyFont="1" applyFill="1" applyBorder="1" applyAlignment="1" applyProtection="1">
      <alignment vertical="center"/>
      <protection hidden="1"/>
    </xf>
    <xf numFmtId="0" fontId="0" fillId="0" borderId="0" xfId="0" applyFont="1" applyFill="1" applyBorder="1" applyAlignment="1" applyProtection="1">
      <alignment/>
      <protection hidden="1"/>
    </xf>
    <xf numFmtId="0" fontId="70" fillId="0" borderId="0" xfId="0" applyFont="1" applyFill="1" applyBorder="1" applyAlignment="1" applyProtection="1">
      <alignment horizontal="right"/>
      <protection hidden="1"/>
    </xf>
    <xf numFmtId="0" fontId="5" fillId="0" borderId="0" xfId="0" applyFont="1" applyBorder="1" applyAlignment="1" applyProtection="1">
      <alignment/>
      <protection hidden="1"/>
    </xf>
    <xf numFmtId="0" fontId="70" fillId="0" borderId="69" xfId="0" applyFont="1" applyFill="1" applyBorder="1" applyAlignment="1" applyProtection="1">
      <alignment/>
      <protection hidden="1"/>
    </xf>
    <xf numFmtId="0" fontId="5" fillId="39" borderId="0" xfId="0" applyFont="1" applyFill="1" applyBorder="1" applyAlignment="1" applyProtection="1">
      <alignment/>
      <protection hidden="1" locked="0"/>
    </xf>
    <xf numFmtId="0" fontId="5" fillId="0" borderId="75" xfId="0" applyFont="1" applyBorder="1" applyAlignment="1" applyProtection="1">
      <alignment/>
      <protection hidden="1"/>
    </xf>
    <xf numFmtId="0" fontId="216" fillId="7" borderId="181" xfId="46" applyFont="1" applyFill="1" applyBorder="1" applyAlignment="1" applyProtection="1">
      <alignment vertical="center"/>
      <protection hidden="1"/>
    </xf>
    <xf numFmtId="0" fontId="216" fillId="7" borderId="182" xfId="46" applyFont="1" applyFill="1" applyBorder="1" applyAlignment="1" applyProtection="1">
      <alignment vertical="center"/>
      <protection hidden="1"/>
    </xf>
    <xf numFmtId="0" fontId="216" fillId="7" borderId="183" xfId="46" applyFont="1" applyFill="1" applyBorder="1" applyAlignment="1" applyProtection="1">
      <alignment vertical="center"/>
      <protection hidden="1"/>
    </xf>
    <xf numFmtId="0" fontId="3" fillId="0" borderId="34" xfId="46" applyFont="1" applyFill="1" applyBorder="1" applyAlignment="1" applyProtection="1">
      <alignment horizontal="center" vertical="center"/>
      <protection hidden="1"/>
    </xf>
    <xf numFmtId="0" fontId="209" fillId="32" borderId="184" xfId="46" applyFont="1" applyFill="1" applyBorder="1" applyAlignment="1" applyProtection="1">
      <alignment horizontal="center" vertical="center"/>
      <protection hidden="1" locked="0"/>
    </xf>
    <xf numFmtId="0" fontId="143" fillId="0" borderId="12" xfId="46" applyFont="1" applyBorder="1" applyAlignment="1" applyProtection="1">
      <alignment/>
      <protection hidden="1"/>
    </xf>
    <xf numFmtId="0" fontId="217" fillId="0" borderId="10" xfId="46" applyFont="1" applyBorder="1" applyAlignment="1" applyProtection="1">
      <alignment horizontal="right"/>
      <protection hidden="1"/>
    </xf>
    <xf numFmtId="0" fontId="155" fillId="0" borderId="0" xfId="46" applyFont="1" applyBorder="1" applyAlignment="1" applyProtection="1">
      <alignment/>
      <protection hidden="1"/>
    </xf>
    <xf numFmtId="0" fontId="218" fillId="0" borderId="10" xfId="46" applyFont="1" applyBorder="1" applyAlignment="1" applyProtection="1">
      <alignment horizontal="right"/>
      <protection hidden="1"/>
    </xf>
    <xf numFmtId="0" fontId="213" fillId="0" borderId="10" xfId="46" applyFont="1" applyBorder="1" applyAlignment="1" applyProtection="1">
      <alignment horizontal="right"/>
      <protection hidden="1"/>
    </xf>
    <xf numFmtId="174" fontId="219" fillId="0" borderId="99" xfId="46" applyNumberFormat="1" applyFont="1" applyBorder="1" applyAlignment="1" applyProtection="1">
      <alignment horizontal="right" vertical="center"/>
      <protection hidden="1"/>
    </xf>
    <xf numFmtId="174" fontId="219" fillId="0" borderId="29" xfId="46" applyNumberFormat="1" applyFont="1" applyBorder="1" applyAlignment="1" applyProtection="1">
      <alignment horizontal="center" vertical="center"/>
      <protection hidden="1"/>
    </xf>
    <xf numFmtId="174" fontId="219" fillId="0" borderId="185" xfId="46" applyNumberFormat="1" applyFont="1" applyBorder="1" applyAlignment="1" applyProtection="1">
      <alignment horizontal="center" vertical="center"/>
      <protection hidden="1"/>
    </xf>
    <xf numFmtId="174" fontId="219" fillId="0" borderId="117" xfId="46" applyNumberFormat="1" applyFont="1" applyBorder="1" applyAlignment="1" applyProtection="1">
      <alignment horizontal="right" vertical="center"/>
      <protection hidden="1"/>
    </xf>
    <xf numFmtId="0" fontId="68" fillId="0" borderId="12" xfId="46" applyFont="1" applyBorder="1" applyAlignment="1" applyProtection="1">
      <alignment vertical="center"/>
      <protection hidden="1"/>
    </xf>
    <xf numFmtId="174" fontId="9" fillId="0" borderId="186" xfId="46" applyNumberFormat="1" applyFont="1" applyBorder="1" applyAlignment="1" applyProtection="1">
      <alignment/>
      <protection hidden="1"/>
    </xf>
    <xf numFmtId="174" fontId="9" fillId="0" borderId="117" xfId="46" applyNumberFormat="1" applyFont="1" applyBorder="1" applyAlignment="1" applyProtection="1">
      <alignment horizontal="center" vertical="center"/>
      <protection hidden="1"/>
    </xf>
    <xf numFmtId="0" fontId="9" fillId="0" borderId="23" xfId="46" applyFont="1" applyBorder="1" applyAlignment="1" applyProtection="1">
      <alignment horizontal="right" vertical="center"/>
      <protection hidden="1"/>
    </xf>
    <xf numFmtId="0" fontId="195" fillId="0" borderId="23" xfId="46" applyFont="1" applyBorder="1" applyAlignment="1" applyProtection="1">
      <alignment horizontal="right" vertical="center"/>
      <protection hidden="1"/>
    </xf>
    <xf numFmtId="174" fontId="195" fillId="0" borderId="14" xfId="46" applyNumberFormat="1" applyFont="1" applyBorder="1" applyProtection="1">
      <alignment/>
      <protection hidden="1"/>
    </xf>
    <xf numFmtId="0" fontId="19" fillId="0" borderId="12" xfId="46" applyFont="1" applyBorder="1" applyAlignment="1" applyProtection="1">
      <alignment/>
      <protection hidden="1"/>
    </xf>
    <xf numFmtId="0" fontId="19" fillId="0" borderId="0" xfId="46" applyFont="1" applyBorder="1" applyAlignment="1" applyProtection="1">
      <alignment/>
      <protection hidden="1"/>
    </xf>
    <xf numFmtId="0" fontId="9" fillId="0" borderId="187" xfId="46" applyFont="1" applyBorder="1" applyAlignment="1" applyProtection="1">
      <alignment horizontal="right" vertical="center"/>
      <protection hidden="1"/>
    </xf>
    <xf numFmtId="0" fontId="9" fillId="0" borderId="12" xfId="46" applyFont="1" applyBorder="1" applyAlignment="1" applyProtection="1">
      <alignment horizontal="right" vertical="center"/>
      <protection hidden="1"/>
    </xf>
    <xf numFmtId="0" fontId="9" fillId="0" borderId="188" xfId="46" applyFont="1" applyBorder="1" applyAlignment="1" applyProtection="1">
      <alignment horizontal="right" vertical="center"/>
      <protection hidden="1"/>
    </xf>
    <xf numFmtId="0" fontId="9" fillId="0" borderId="189" xfId="46" applyFont="1" applyBorder="1" applyAlignment="1" applyProtection="1">
      <alignment horizontal="right" vertical="center"/>
      <protection hidden="1"/>
    </xf>
    <xf numFmtId="0" fontId="9" fillId="0" borderId="190" xfId="46" applyFont="1" applyBorder="1" applyAlignment="1" applyProtection="1">
      <alignment horizontal="right" vertical="center"/>
      <protection hidden="1"/>
    </xf>
    <xf numFmtId="0" fontId="9" fillId="0" borderId="191" xfId="46" applyFont="1" applyBorder="1" applyAlignment="1" applyProtection="1">
      <alignment horizontal="right" vertical="center"/>
      <protection hidden="1"/>
    </xf>
    <xf numFmtId="0" fontId="9" fillId="0" borderId="82" xfId="46" applyFont="1" applyBorder="1" applyAlignment="1" applyProtection="1">
      <alignment horizontal="right" vertical="center"/>
      <protection hidden="1"/>
    </xf>
    <xf numFmtId="0" fontId="9" fillId="0" borderId="22" xfId="46" applyFont="1" applyBorder="1" applyAlignment="1" applyProtection="1">
      <alignment horizontal="right" vertical="center"/>
      <protection hidden="1"/>
    </xf>
    <xf numFmtId="0" fontId="1" fillId="16" borderId="0" xfId="46" applyFill="1" applyBorder="1" applyProtection="1">
      <alignment/>
      <protection hidden="1" locked="0"/>
    </xf>
    <xf numFmtId="0" fontId="3" fillId="16" borderId="0" xfId="46" applyFont="1" applyFill="1">
      <alignment/>
      <protection/>
    </xf>
    <xf numFmtId="0" fontId="23" fillId="16" borderId="0" xfId="46" applyFont="1" applyFill="1">
      <alignment/>
      <protection/>
    </xf>
    <xf numFmtId="0" fontId="3" fillId="0" borderId="172" xfId="46" applyFont="1" applyFill="1" applyBorder="1">
      <alignment/>
      <protection/>
    </xf>
    <xf numFmtId="0" fontId="3" fillId="0" borderId="127" xfId="46" applyFont="1" applyFill="1" applyBorder="1">
      <alignment/>
      <protection/>
    </xf>
    <xf numFmtId="0" fontId="3" fillId="0" borderId="192" xfId="46" applyFont="1" applyFill="1" applyBorder="1">
      <alignment/>
      <protection/>
    </xf>
    <xf numFmtId="0" fontId="3" fillId="0" borderId="128" xfId="46" applyFont="1" applyFill="1" applyBorder="1">
      <alignment/>
      <protection/>
    </xf>
    <xf numFmtId="0" fontId="3" fillId="0" borderId="129" xfId="46" applyFont="1" applyFill="1" applyBorder="1">
      <alignment/>
      <protection/>
    </xf>
    <xf numFmtId="0" fontId="3" fillId="0" borderId="130" xfId="46" applyFont="1" applyFill="1" applyBorder="1">
      <alignment/>
      <protection/>
    </xf>
    <xf numFmtId="0" fontId="3" fillId="0" borderId="131" xfId="46" applyFont="1" applyFill="1" applyBorder="1">
      <alignment/>
      <protection/>
    </xf>
    <xf numFmtId="0" fontId="3" fillId="0" borderId="132" xfId="46" applyFont="1" applyFill="1" applyBorder="1">
      <alignment/>
      <protection/>
    </xf>
    <xf numFmtId="0" fontId="3" fillId="16" borderId="0" xfId="46" applyFont="1" applyFill="1" applyBorder="1" applyAlignment="1">
      <alignment/>
      <protection/>
    </xf>
    <xf numFmtId="0" fontId="3" fillId="16" borderId="0" xfId="46" applyFont="1" applyFill="1" applyAlignment="1">
      <alignment horizontal="center"/>
      <protection/>
    </xf>
    <xf numFmtId="0" fontId="63" fillId="16" borderId="0" xfId="0" applyFont="1" applyFill="1" applyBorder="1" applyAlignment="1" applyProtection="1">
      <alignment vertical="center"/>
      <protection hidden="1"/>
    </xf>
    <xf numFmtId="0" fontId="63" fillId="16" borderId="0" xfId="0" applyFont="1" applyFill="1" applyBorder="1" applyAlignment="1" applyProtection="1">
      <alignment horizontal="left" vertical="center"/>
      <protection hidden="1"/>
    </xf>
    <xf numFmtId="0" fontId="5" fillId="0" borderId="12" xfId="46" applyFont="1" applyBorder="1" applyAlignment="1" applyProtection="1">
      <alignment vertical="center"/>
      <protection hidden="1"/>
    </xf>
    <xf numFmtId="1" fontId="14" fillId="0" borderId="53" xfId="46" applyNumberFormat="1" applyFont="1" applyBorder="1" applyAlignment="1" applyProtection="1">
      <alignment horizontal="center" vertical="center"/>
      <protection hidden="1"/>
    </xf>
    <xf numFmtId="1" fontId="14" fillId="0" borderId="193" xfId="46" applyNumberFormat="1" applyFont="1" applyBorder="1" applyAlignment="1" applyProtection="1">
      <alignment horizontal="center" vertical="center"/>
      <protection hidden="1"/>
    </xf>
    <xf numFmtId="1" fontId="14" fillId="0" borderId="194" xfId="46" applyNumberFormat="1" applyFont="1" applyBorder="1" applyAlignment="1" applyProtection="1">
      <alignment horizontal="center" vertical="center"/>
      <protection hidden="1"/>
    </xf>
    <xf numFmtId="0" fontId="68" fillId="0" borderId="10" xfId="46" applyFont="1" applyBorder="1" applyAlignment="1" applyProtection="1">
      <alignment vertical="center"/>
      <protection hidden="1"/>
    </xf>
    <xf numFmtId="0" fontId="119" fillId="0" borderId="12" xfId="46" applyFont="1" applyBorder="1" applyAlignment="1" applyProtection="1">
      <alignment vertical="center"/>
      <protection hidden="1"/>
    </xf>
    <xf numFmtId="0" fontId="14" fillId="0" borderId="10" xfId="46" applyFont="1" applyBorder="1" applyAlignment="1" applyProtection="1">
      <alignment vertical="center"/>
      <protection hidden="1"/>
    </xf>
    <xf numFmtId="3" fontId="220" fillId="0" borderId="10" xfId="46" applyNumberFormat="1" applyFont="1" applyBorder="1" applyAlignment="1" applyProtection="1">
      <alignment vertical="center"/>
      <protection hidden="1"/>
    </xf>
    <xf numFmtId="3" fontId="220" fillId="0" borderId="10" xfId="46" applyNumberFormat="1" applyFont="1" applyBorder="1" applyAlignment="1" applyProtection="1">
      <alignment horizontal="right" vertical="center"/>
      <protection hidden="1"/>
    </xf>
    <xf numFmtId="3" fontId="221" fillId="0" borderId="0" xfId="46" applyNumberFormat="1" applyFont="1" applyBorder="1" applyAlignment="1" applyProtection="1">
      <alignment horizontal="right" vertical="center"/>
      <protection hidden="1"/>
    </xf>
    <xf numFmtId="174" fontId="219" fillId="0" borderId="195" xfId="46" applyNumberFormat="1" applyFont="1" applyBorder="1" applyAlignment="1" applyProtection="1">
      <alignment horizontal="right" vertical="center"/>
      <protection hidden="1"/>
    </xf>
    <xf numFmtId="0" fontId="121" fillId="56" borderId="0" xfId="0" applyFont="1" applyFill="1" applyBorder="1" applyAlignment="1" applyProtection="1">
      <alignment horizontal="center" vertical="center"/>
      <protection hidden="1"/>
    </xf>
    <xf numFmtId="175" fontId="120" fillId="7" borderId="0" xfId="0" applyNumberFormat="1" applyFont="1" applyFill="1" applyBorder="1" applyAlignment="1" applyProtection="1">
      <alignment horizontal="center" vertical="center"/>
      <protection hidden="1"/>
    </xf>
    <xf numFmtId="0" fontId="119" fillId="68" borderId="196" xfId="0" applyFont="1" applyFill="1" applyBorder="1" applyAlignment="1" applyProtection="1">
      <alignment horizontal="center" vertical="center" wrapText="1"/>
      <protection hidden="1"/>
    </xf>
    <xf numFmtId="0" fontId="123" fillId="68" borderId="138" xfId="0" applyFont="1" applyFill="1" applyBorder="1" applyAlignment="1" applyProtection="1">
      <alignment horizontal="center" wrapText="1"/>
      <protection hidden="1"/>
    </xf>
    <xf numFmtId="0" fontId="123" fillId="68" borderId="177" xfId="0" applyFont="1" applyFill="1" applyBorder="1" applyAlignment="1" applyProtection="1">
      <alignment horizontal="center" wrapText="1"/>
      <protection hidden="1"/>
    </xf>
    <xf numFmtId="0" fontId="123" fillId="68" borderId="197" xfId="0" applyFont="1" applyFill="1" applyBorder="1" applyAlignment="1" applyProtection="1">
      <alignment horizontal="center" wrapText="1"/>
      <protection hidden="1"/>
    </xf>
    <xf numFmtId="0" fontId="118" fillId="68" borderId="198" xfId="0" applyFont="1" applyFill="1" applyBorder="1" applyAlignment="1" applyProtection="1">
      <alignment horizontal="center" wrapText="1"/>
      <protection hidden="1"/>
    </xf>
    <xf numFmtId="0" fontId="118" fillId="68" borderId="199" xfId="0" applyFont="1" applyFill="1" applyBorder="1" applyAlignment="1" applyProtection="1">
      <alignment horizontal="center" wrapText="1"/>
      <protection hidden="1"/>
    </xf>
    <xf numFmtId="0" fontId="123" fillId="68" borderId="200" xfId="0" applyFont="1" applyFill="1" applyBorder="1" applyAlignment="1" applyProtection="1">
      <alignment horizontal="center" wrapText="1"/>
      <protection hidden="1"/>
    </xf>
    <xf numFmtId="0" fontId="118" fillId="68" borderId="201" xfId="0" applyFont="1" applyFill="1" applyBorder="1" applyAlignment="1" applyProtection="1">
      <alignment horizontal="center" wrapText="1"/>
      <protection hidden="1"/>
    </xf>
    <xf numFmtId="0" fontId="119" fillId="68" borderId="202" xfId="0" applyFont="1" applyFill="1" applyBorder="1" applyAlignment="1" applyProtection="1">
      <alignment horizontal="center" vertical="center" wrapText="1"/>
      <protection hidden="1"/>
    </xf>
    <xf numFmtId="0" fontId="118" fillId="68" borderId="203" xfId="0" applyFont="1" applyFill="1" applyBorder="1" applyAlignment="1" applyProtection="1">
      <alignment horizontal="center" vertical="center" wrapText="1"/>
      <protection hidden="1"/>
    </xf>
    <xf numFmtId="0" fontId="123" fillId="68" borderId="204" xfId="0" applyFont="1" applyFill="1" applyBorder="1" applyAlignment="1" applyProtection="1">
      <alignment horizontal="center" wrapText="1"/>
      <protection hidden="1"/>
    </xf>
    <xf numFmtId="0" fontId="118" fillId="68" borderId="205" xfId="0" applyFont="1" applyFill="1" applyBorder="1" applyAlignment="1" applyProtection="1">
      <alignment horizontal="center" vertical="center" wrapText="1"/>
      <protection hidden="1"/>
    </xf>
    <xf numFmtId="0" fontId="118" fillId="68" borderId="205" xfId="0" applyFont="1" applyFill="1" applyBorder="1" applyAlignment="1" applyProtection="1">
      <alignment horizontal="center" wrapText="1"/>
      <protection hidden="1"/>
    </xf>
    <xf numFmtId="0" fontId="118" fillId="68" borderId="206" xfId="0" applyFont="1" applyFill="1" applyBorder="1" applyAlignment="1" applyProtection="1">
      <alignment horizontal="center" wrapText="1"/>
      <protection hidden="1"/>
    </xf>
    <xf numFmtId="0" fontId="43" fillId="56" borderId="207" xfId="46" applyFont="1" applyFill="1" applyBorder="1" applyAlignment="1">
      <alignment vertical="center"/>
      <protection/>
    </xf>
    <xf numFmtId="0" fontId="43" fillId="56" borderId="0" xfId="46" applyFont="1" applyFill="1" applyBorder="1" applyAlignment="1">
      <alignment vertical="center"/>
      <protection/>
    </xf>
    <xf numFmtId="0" fontId="3" fillId="42" borderId="208" xfId="46" applyFont="1" applyFill="1" applyBorder="1">
      <alignment/>
      <protection/>
    </xf>
    <xf numFmtId="0" fontId="23" fillId="42" borderId="208" xfId="46" applyFont="1" applyFill="1" applyBorder="1" applyAlignment="1" applyProtection="1">
      <alignment vertical="center" wrapText="1"/>
      <protection hidden="1"/>
    </xf>
    <xf numFmtId="0" fontId="3" fillId="35" borderId="209" xfId="46" applyFont="1" applyFill="1" applyBorder="1" applyAlignment="1" applyProtection="1">
      <alignment horizontal="center" vertical="center"/>
      <protection hidden="1"/>
    </xf>
    <xf numFmtId="0" fontId="3" fillId="69" borderId="95" xfId="46" applyFont="1" applyFill="1" applyBorder="1" applyProtection="1">
      <alignment/>
      <protection hidden="1"/>
    </xf>
    <xf numFmtId="0" fontId="3" fillId="69" borderId="95" xfId="46" applyFont="1" applyFill="1" applyBorder="1" applyAlignment="1" applyProtection="1">
      <alignment/>
      <protection hidden="1"/>
    </xf>
    <xf numFmtId="0" fontId="23" fillId="70" borderId="95" xfId="46" applyFont="1" applyFill="1" applyBorder="1" applyAlignment="1" applyProtection="1">
      <alignment vertical="center" wrapText="1"/>
      <protection hidden="1"/>
    </xf>
    <xf numFmtId="0" fontId="43" fillId="42" borderId="210" xfId="46" applyFont="1" applyFill="1" applyBorder="1" applyAlignment="1">
      <alignment vertical="center"/>
      <protection/>
    </xf>
    <xf numFmtId="0" fontId="43" fillId="42" borderId="95" xfId="46" applyFont="1" applyFill="1" applyBorder="1" applyAlignment="1">
      <alignment vertical="center"/>
      <protection/>
    </xf>
    <xf numFmtId="0" fontId="45" fillId="71" borderId="95" xfId="46" applyFont="1" applyFill="1" applyBorder="1" applyAlignment="1" applyProtection="1">
      <alignment vertical="center"/>
      <protection hidden="1"/>
    </xf>
    <xf numFmtId="0" fontId="14" fillId="2" borderId="211" xfId="46" applyFont="1" applyFill="1" applyBorder="1" applyAlignment="1" applyProtection="1">
      <alignment horizontal="left"/>
      <protection hidden="1"/>
    </xf>
    <xf numFmtId="0" fontId="14" fillId="2" borderId="212" xfId="46" applyFont="1" applyFill="1" applyBorder="1" applyAlignment="1" applyProtection="1">
      <alignment/>
      <protection hidden="1"/>
    </xf>
    <xf numFmtId="0" fontId="14" fillId="2" borderId="213" xfId="46" applyFont="1" applyFill="1" applyBorder="1" applyAlignment="1" applyProtection="1">
      <alignment/>
      <protection hidden="1"/>
    </xf>
    <xf numFmtId="0" fontId="14" fillId="2" borderId="214" xfId="46" applyFont="1" applyFill="1" applyBorder="1" applyAlignment="1" applyProtection="1">
      <alignment/>
      <protection hidden="1"/>
    </xf>
    <xf numFmtId="181" fontId="3" fillId="16" borderId="10" xfId="46" applyNumberFormat="1" applyFont="1" applyFill="1" applyBorder="1">
      <alignment/>
      <protection/>
    </xf>
    <xf numFmtId="0" fontId="0" fillId="0" borderId="215" xfId="0" applyBorder="1" applyAlignment="1">
      <alignment/>
    </xf>
    <xf numFmtId="0" fontId="0" fillId="0" borderId="216" xfId="0" applyBorder="1" applyAlignment="1">
      <alignment/>
    </xf>
    <xf numFmtId="0" fontId="120" fillId="56" borderId="75" xfId="0" applyFont="1" applyFill="1" applyBorder="1" applyAlignment="1" applyProtection="1">
      <alignment horizontal="center" vertical="center"/>
      <protection hidden="1"/>
    </xf>
    <xf numFmtId="0" fontId="0" fillId="7" borderId="217" xfId="0" applyFill="1" applyBorder="1" applyAlignment="1">
      <alignment/>
    </xf>
    <xf numFmtId="0" fontId="120" fillId="0" borderId="80" xfId="0" applyFont="1" applyFill="1" applyBorder="1" applyAlignment="1" applyProtection="1">
      <alignment horizontal="center" vertical="center" wrapText="1"/>
      <protection hidden="1" locked="0"/>
    </xf>
    <xf numFmtId="0" fontId="120" fillId="56" borderId="80" xfId="0" applyFont="1" applyFill="1" applyBorder="1" applyAlignment="1" applyProtection="1">
      <alignment vertical="center" wrapText="1"/>
      <protection hidden="1"/>
    </xf>
    <xf numFmtId="0" fontId="122" fillId="68" borderId="218" xfId="0" applyNumberFormat="1" applyFont="1" applyFill="1" applyBorder="1" applyAlignment="1" applyProtection="1">
      <alignment horizontal="center" vertical="center" wrapText="1"/>
      <protection hidden="1"/>
    </xf>
    <xf numFmtId="0" fontId="0" fillId="0" borderId="219" xfId="0" applyBorder="1" applyAlignment="1">
      <alignment/>
    </xf>
    <xf numFmtId="175" fontId="122" fillId="68" borderId="220" xfId="0" applyNumberFormat="1" applyFont="1" applyFill="1" applyBorder="1" applyAlignment="1" applyProtection="1">
      <alignment horizontal="center" vertical="center"/>
      <protection hidden="1"/>
    </xf>
    <xf numFmtId="0" fontId="122" fillId="68" borderId="221" xfId="0" applyNumberFormat="1" applyFont="1" applyFill="1" applyBorder="1" applyAlignment="1" applyProtection="1">
      <alignment horizontal="center" vertical="center"/>
      <protection hidden="1"/>
    </xf>
    <xf numFmtId="0" fontId="121" fillId="68" borderId="221" xfId="0" applyNumberFormat="1" applyFont="1" applyFill="1" applyBorder="1" applyAlignment="1" applyProtection="1">
      <alignment horizontal="center" vertical="center" wrapText="1"/>
      <protection hidden="1"/>
    </xf>
    <xf numFmtId="0" fontId="122" fillId="68" borderId="220" xfId="0" applyNumberFormat="1" applyFont="1" applyFill="1" applyBorder="1" applyAlignment="1" applyProtection="1">
      <alignment horizontal="center" vertical="center" wrapText="1"/>
      <protection hidden="1"/>
    </xf>
    <xf numFmtId="0" fontId="122" fillId="68" borderId="221" xfId="0" applyNumberFormat="1" applyFont="1" applyFill="1" applyBorder="1" applyAlignment="1" applyProtection="1">
      <alignment horizontal="center" vertical="center" wrapText="1"/>
      <protection hidden="1"/>
    </xf>
    <xf numFmtId="0" fontId="122" fillId="68" borderId="222" xfId="0" applyNumberFormat="1" applyFont="1" applyFill="1" applyBorder="1" applyAlignment="1" applyProtection="1">
      <alignment horizontal="center" vertical="center" wrapText="1"/>
      <protection hidden="1"/>
    </xf>
    <xf numFmtId="175" fontId="120" fillId="56" borderId="0" xfId="0" applyNumberFormat="1" applyFont="1" applyFill="1" applyBorder="1" applyAlignment="1" applyProtection="1">
      <alignment horizontal="left" vertical="center" wrapText="1"/>
      <protection hidden="1" locked="0"/>
    </xf>
    <xf numFmtId="0" fontId="122" fillId="68" borderId="223" xfId="0" applyFont="1" applyFill="1" applyBorder="1" applyAlignment="1" applyProtection="1">
      <alignment horizontal="center" vertical="center" wrapText="1"/>
      <protection hidden="1"/>
    </xf>
    <xf numFmtId="0" fontId="121" fillId="68" borderId="224" xfId="0" applyNumberFormat="1" applyFont="1" applyFill="1" applyBorder="1" applyAlignment="1" applyProtection="1">
      <alignment horizontal="center" vertical="center" wrapText="1"/>
      <protection hidden="1"/>
    </xf>
    <xf numFmtId="0" fontId="7" fillId="0" borderId="0" xfId="46" applyFont="1" applyBorder="1" applyAlignment="1" applyProtection="1">
      <alignment/>
      <protection hidden="1"/>
    </xf>
    <xf numFmtId="174" fontId="20" fillId="0" borderId="66" xfId="46" applyNumberFormat="1" applyFont="1" applyBorder="1">
      <alignment/>
      <protection/>
    </xf>
    <xf numFmtId="0" fontId="77" fillId="72" borderId="82" xfId="0" applyFont="1" applyFill="1" applyBorder="1" applyAlignment="1" applyProtection="1">
      <alignment horizontal="center" vertical="center" wrapText="1"/>
      <protection hidden="1"/>
    </xf>
    <xf numFmtId="0" fontId="77" fillId="72" borderId="83" xfId="0" applyFont="1" applyFill="1" applyBorder="1" applyAlignment="1" applyProtection="1">
      <alignment horizontal="center" vertical="center" wrapText="1"/>
      <protection hidden="1"/>
    </xf>
    <xf numFmtId="0" fontId="222" fillId="73" borderId="12" xfId="0" applyFont="1" applyFill="1" applyBorder="1" applyAlignment="1" applyProtection="1">
      <alignment horizontal="center" vertical="center" wrapText="1"/>
      <protection hidden="1"/>
    </xf>
    <xf numFmtId="0" fontId="222" fillId="73" borderId="0" xfId="0" applyFont="1" applyFill="1" applyBorder="1" applyAlignment="1" applyProtection="1">
      <alignment horizontal="center" vertical="center" wrapText="1"/>
      <protection hidden="1"/>
    </xf>
    <xf numFmtId="0" fontId="222" fillId="73" borderId="82" xfId="0" applyFont="1" applyFill="1" applyBorder="1" applyAlignment="1" applyProtection="1">
      <alignment horizontal="center" vertical="center" wrapText="1"/>
      <protection hidden="1"/>
    </xf>
    <xf numFmtId="0" fontId="159" fillId="74" borderId="82" xfId="0" applyFont="1" applyFill="1" applyBorder="1" applyAlignment="1" applyProtection="1">
      <alignment horizontal="center" vertical="top" wrapText="1"/>
      <protection hidden="1"/>
    </xf>
    <xf numFmtId="0" fontId="159" fillId="74" borderId="83" xfId="0" applyFont="1" applyFill="1" applyBorder="1" applyAlignment="1" applyProtection="1">
      <alignment horizontal="center" vertical="top" wrapText="1"/>
      <protection hidden="1"/>
    </xf>
    <xf numFmtId="0" fontId="3" fillId="44" borderId="225" xfId="46" applyFont="1" applyFill="1" applyBorder="1" applyAlignment="1" applyProtection="1">
      <alignment horizontal="left" vertical="center"/>
      <protection hidden="1"/>
    </xf>
    <xf numFmtId="0" fontId="3" fillId="44" borderId="226" xfId="46" applyFont="1" applyFill="1" applyBorder="1" applyAlignment="1" applyProtection="1">
      <alignment horizontal="left" vertical="center"/>
      <protection hidden="1"/>
    </xf>
    <xf numFmtId="0" fontId="47" fillId="51" borderId="66" xfId="46" applyFont="1" applyFill="1" applyBorder="1" applyAlignment="1" applyProtection="1">
      <alignment horizontal="center" vertical="center" wrapText="1"/>
      <protection hidden="1"/>
    </xf>
    <xf numFmtId="0" fontId="47" fillId="51" borderId="16" xfId="46" applyFont="1" applyFill="1" applyBorder="1" applyAlignment="1" applyProtection="1">
      <alignment horizontal="center" vertical="center" wrapText="1"/>
      <protection hidden="1"/>
    </xf>
    <xf numFmtId="0" fontId="3" fillId="44" borderId="227" xfId="46" applyFont="1" applyFill="1" applyBorder="1" applyAlignment="1" applyProtection="1">
      <alignment horizontal="left" vertical="center"/>
      <protection hidden="1"/>
    </xf>
    <xf numFmtId="0" fontId="3" fillId="44" borderId="58" xfId="46" applyFont="1" applyFill="1" applyBorder="1" applyAlignment="1" applyProtection="1">
      <alignment horizontal="left" vertical="center"/>
      <protection hidden="1"/>
    </xf>
    <xf numFmtId="0" fontId="46" fillId="53" borderId="228" xfId="46" applyFont="1" applyFill="1" applyBorder="1" applyAlignment="1" applyProtection="1">
      <alignment horizontal="center" vertical="center"/>
      <protection hidden="1"/>
    </xf>
    <xf numFmtId="0" fontId="46" fillId="53" borderId="122" xfId="46" applyFont="1" applyFill="1" applyBorder="1" applyAlignment="1" applyProtection="1">
      <alignment horizontal="center" vertical="center"/>
      <protection hidden="1"/>
    </xf>
    <xf numFmtId="0" fontId="46" fillId="53" borderId="229" xfId="46" applyFont="1" applyFill="1" applyBorder="1" applyAlignment="1" applyProtection="1">
      <alignment horizontal="center" vertical="center"/>
      <protection hidden="1"/>
    </xf>
    <xf numFmtId="0" fontId="46" fillId="53" borderId="230" xfId="46" applyFont="1" applyFill="1" applyBorder="1" applyAlignment="1" applyProtection="1">
      <alignment horizontal="center" vertical="center"/>
      <protection hidden="1"/>
    </xf>
    <xf numFmtId="0" fontId="45" fillId="75" borderId="231" xfId="46" applyFont="1" applyFill="1" applyBorder="1" applyAlignment="1" applyProtection="1">
      <alignment horizontal="center" vertical="center"/>
      <protection hidden="1"/>
    </xf>
    <xf numFmtId="0" fontId="45" fillId="75" borderId="232" xfId="46" applyFont="1" applyFill="1" applyBorder="1" applyAlignment="1" applyProtection="1">
      <alignment horizontal="center" vertical="center"/>
      <protection hidden="1"/>
    </xf>
    <xf numFmtId="0" fontId="45" fillId="75" borderId="233" xfId="46" applyFont="1" applyFill="1" applyBorder="1" applyAlignment="1" applyProtection="1">
      <alignment horizontal="center" vertical="center"/>
      <protection hidden="1"/>
    </xf>
    <xf numFmtId="0" fontId="209" fillId="32" borderId="56" xfId="46" applyFont="1" applyFill="1" applyBorder="1" applyAlignment="1" applyProtection="1">
      <alignment horizontal="center" vertical="center"/>
      <protection hidden="1" locked="0"/>
    </xf>
    <xf numFmtId="0" fontId="209" fillId="32" borderId="58" xfId="46" applyFont="1" applyFill="1" applyBorder="1" applyAlignment="1" applyProtection="1">
      <alignment horizontal="center" vertical="center"/>
      <protection hidden="1" locked="0"/>
    </xf>
    <xf numFmtId="0" fontId="48" fillId="76" borderId="234" xfId="46" applyFont="1" applyFill="1" applyBorder="1" applyAlignment="1" applyProtection="1">
      <alignment horizontal="center" vertical="center"/>
      <protection hidden="1"/>
    </xf>
    <xf numFmtId="0" fontId="48" fillId="76" borderId="235" xfId="46" applyFont="1" applyFill="1" applyBorder="1" applyAlignment="1" applyProtection="1">
      <alignment horizontal="center" vertical="center"/>
      <protection hidden="1"/>
    </xf>
    <xf numFmtId="0" fontId="32" fillId="51" borderId="56" xfId="46" applyFont="1" applyFill="1" applyBorder="1" applyAlignment="1" applyProtection="1">
      <alignment horizontal="center" vertical="center" wrapText="1"/>
      <protection hidden="1"/>
    </xf>
    <xf numFmtId="0" fontId="32" fillId="51" borderId="65" xfId="46" applyFont="1" applyFill="1" applyBorder="1" applyAlignment="1" applyProtection="1">
      <alignment horizontal="center" vertical="center" wrapText="1"/>
      <protection hidden="1"/>
    </xf>
    <xf numFmtId="0" fontId="23" fillId="77" borderId="20" xfId="46" applyFont="1" applyFill="1" applyBorder="1" applyAlignment="1" applyProtection="1">
      <alignment horizontal="center" vertical="center" wrapText="1"/>
      <protection hidden="1"/>
    </xf>
    <xf numFmtId="0" fontId="3" fillId="13" borderId="126" xfId="46" applyFont="1" applyFill="1" applyBorder="1" applyAlignment="1" applyProtection="1">
      <alignment horizontal="center" vertical="center" wrapText="1"/>
      <protection hidden="1"/>
    </xf>
    <xf numFmtId="0" fontId="3" fillId="13" borderId="0" xfId="46" applyFont="1" applyFill="1" applyBorder="1" applyAlignment="1" applyProtection="1">
      <alignment horizontal="center" vertical="center" wrapText="1"/>
      <protection hidden="1"/>
    </xf>
    <xf numFmtId="0" fontId="3" fillId="13" borderId="236" xfId="46" applyFont="1" applyFill="1" applyBorder="1" applyAlignment="1" applyProtection="1">
      <alignment horizontal="center" vertical="center" wrapText="1"/>
      <protection hidden="1"/>
    </xf>
    <xf numFmtId="0" fontId="3" fillId="78" borderId="237" xfId="46" applyFont="1" applyFill="1" applyBorder="1" applyAlignment="1" applyProtection="1">
      <alignment horizontal="left"/>
      <protection hidden="1"/>
    </xf>
    <xf numFmtId="0" fontId="3" fillId="78" borderId="238" xfId="46" applyFont="1" applyFill="1" applyBorder="1" applyAlignment="1" applyProtection="1">
      <alignment horizontal="left"/>
      <protection hidden="1"/>
    </xf>
    <xf numFmtId="0" fontId="3" fillId="79" borderId="0" xfId="46" applyFont="1" applyFill="1" applyBorder="1" applyAlignment="1" applyProtection="1">
      <alignment horizontal="center" vertical="center"/>
      <protection hidden="1"/>
    </xf>
    <xf numFmtId="0" fontId="3" fillId="51" borderId="11" xfId="46" applyFont="1" applyFill="1" applyBorder="1" applyAlignment="1" applyProtection="1">
      <alignment horizontal="center" vertical="center" wrapText="1"/>
      <protection hidden="1"/>
    </xf>
    <xf numFmtId="0" fontId="3" fillId="51" borderId="14" xfId="46" applyFont="1" applyFill="1" applyBorder="1" applyAlignment="1" applyProtection="1">
      <alignment horizontal="center" vertical="center" wrapText="1"/>
      <protection hidden="1"/>
    </xf>
    <xf numFmtId="0" fontId="3" fillId="51" borderId="19" xfId="46" applyFont="1" applyFill="1" applyBorder="1" applyAlignment="1" applyProtection="1">
      <alignment horizontal="center" vertical="center" wrapText="1"/>
      <protection hidden="1"/>
    </xf>
    <xf numFmtId="0" fontId="3" fillId="51" borderId="21" xfId="46" applyFont="1" applyFill="1" applyBorder="1" applyAlignment="1" applyProtection="1">
      <alignment horizontal="center" vertical="center" wrapText="1"/>
      <protection hidden="1"/>
    </xf>
    <xf numFmtId="0" fontId="209" fillId="32" borderId="56" xfId="46" applyFont="1" applyFill="1" applyBorder="1" applyAlignment="1" applyProtection="1">
      <alignment horizontal="center"/>
      <protection hidden="1" locked="0"/>
    </xf>
    <xf numFmtId="0" fontId="209" fillId="32" borderId="58" xfId="46" applyFont="1" applyFill="1" applyBorder="1" applyAlignment="1" applyProtection="1">
      <alignment horizontal="center"/>
      <protection hidden="1" locked="0"/>
    </xf>
    <xf numFmtId="0" fontId="3" fillId="43" borderId="239" xfId="46" applyFont="1" applyFill="1" applyBorder="1" applyAlignment="1" applyProtection="1">
      <alignment horizontal="left" vertical="center"/>
      <protection hidden="1"/>
    </xf>
    <xf numFmtId="0" fontId="3" fillId="43" borderId="240" xfId="46" applyFont="1" applyFill="1" applyBorder="1" applyAlignment="1" applyProtection="1">
      <alignment horizontal="left" vertical="center"/>
      <protection hidden="1"/>
    </xf>
    <xf numFmtId="0" fontId="223" fillId="32" borderId="241" xfId="0" applyFont="1" applyFill="1" applyBorder="1" applyAlignment="1">
      <alignment horizontal="center" vertical="center"/>
    </xf>
    <xf numFmtId="0" fontId="223" fillId="32" borderId="92" xfId="0" applyFont="1" applyFill="1" applyBorder="1" applyAlignment="1">
      <alignment horizontal="center" vertical="center"/>
    </xf>
    <xf numFmtId="0" fontId="223" fillId="32" borderId="242" xfId="0" applyFont="1" applyFill="1" applyBorder="1" applyAlignment="1">
      <alignment horizontal="center" vertical="center"/>
    </xf>
    <xf numFmtId="0" fontId="223" fillId="32" borderId="243" xfId="0" applyFont="1" applyFill="1" applyBorder="1" applyAlignment="1">
      <alignment horizontal="center" vertical="center"/>
    </xf>
    <xf numFmtId="0" fontId="223" fillId="32" borderId="244" xfId="0" applyFont="1" applyFill="1" applyBorder="1" applyAlignment="1">
      <alignment horizontal="center" vertical="center"/>
    </xf>
    <xf numFmtId="0" fontId="223" fillId="32" borderId="96" xfId="0" applyFont="1" applyFill="1" applyBorder="1" applyAlignment="1">
      <alignment horizontal="center" vertical="center"/>
    </xf>
    <xf numFmtId="0" fontId="48" fillId="51" borderId="77" xfId="46" applyFont="1" applyFill="1" applyBorder="1" applyAlignment="1" applyProtection="1">
      <alignment horizontal="center" vertical="center"/>
      <protection hidden="1"/>
    </xf>
    <xf numFmtId="0" fontId="48" fillId="51" borderId="78" xfId="46" applyFont="1" applyFill="1" applyBorder="1" applyAlignment="1" applyProtection="1">
      <alignment horizontal="center" vertical="center"/>
      <protection hidden="1"/>
    </xf>
    <xf numFmtId="0" fontId="21" fillId="9" borderId="123" xfId="46" applyFont="1" applyFill="1" applyBorder="1" applyAlignment="1">
      <alignment horizontal="center" vertical="center"/>
      <protection/>
    </xf>
    <xf numFmtId="0" fontId="21" fillId="9" borderId="237" xfId="46" applyFont="1" applyFill="1" applyBorder="1" applyAlignment="1">
      <alignment horizontal="center" vertical="center"/>
      <protection/>
    </xf>
    <xf numFmtId="0" fontId="21" fillId="9" borderId="245" xfId="46" applyFont="1" applyFill="1" applyBorder="1" applyAlignment="1">
      <alignment horizontal="center" vertical="center"/>
      <protection/>
    </xf>
    <xf numFmtId="172" fontId="50" fillId="80" borderId="56" xfId="46" applyNumberFormat="1" applyFont="1" applyFill="1" applyBorder="1" applyAlignment="1" applyProtection="1">
      <alignment horizontal="center" vertical="center"/>
      <protection hidden="1"/>
    </xf>
    <xf numFmtId="172" fontId="50" fillId="80" borderId="65" xfId="46" applyNumberFormat="1" applyFont="1" applyFill="1" applyBorder="1" applyAlignment="1" applyProtection="1">
      <alignment horizontal="center" vertical="center"/>
      <protection hidden="1"/>
    </xf>
    <xf numFmtId="0" fontId="43" fillId="81" borderId="246" xfId="46" applyFont="1" applyFill="1" applyBorder="1" applyAlignment="1">
      <alignment horizontal="center" vertical="center"/>
      <protection/>
    </xf>
    <xf numFmtId="0" fontId="43" fillId="81" borderId="207" xfId="46" applyFont="1" applyFill="1" applyBorder="1" applyAlignment="1">
      <alignment horizontal="center" vertical="center"/>
      <protection/>
    </xf>
    <xf numFmtId="0" fontId="43" fillId="81" borderId="247" xfId="46" applyFont="1" applyFill="1" applyBorder="1" applyAlignment="1">
      <alignment horizontal="center" vertical="center"/>
      <protection/>
    </xf>
    <xf numFmtId="0" fontId="43" fillId="81" borderId="248" xfId="46" applyFont="1" applyFill="1" applyBorder="1" applyAlignment="1">
      <alignment horizontal="center" vertical="center"/>
      <protection/>
    </xf>
    <xf numFmtId="0" fontId="22" fillId="82" borderId="238" xfId="46" applyFont="1" applyFill="1" applyBorder="1" applyAlignment="1" applyProtection="1">
      <alignment horizontal="left" vertical="center"/>
      <protection hidden="1"/>
    </xf>
    <xf numFmtId="0" fontId="22" fillId="82" borderId="90" xfId="46" applyFont="1" applyFill="1" applyBorder="1" applyAlignment="1" applyProtection="1">
      <alignment horizontal="left" vertical="center"/>
      <protection hidden="1"/>
    </xf>
    <xf numFmtId="0" fontId="22" fillId="82" borderId="123" xfId="46" applyFont="1" applyFill="1" applyBorder="1" applyAlignment="1" applyProtection="1">
      <alignment horizontal="left" vertical="center"/>
      <protection hidden="1"/>
    </xf>
    <xf numFmtId="0" fontId="224" fillId="9" borderId="249" xfId="46" applyFont="1" applyFill="1" applyBorder="1" applyAlignment="1">
      <alignment horizontal="center" vertical="center"/>
      <protection/>
    </xf>
    <xf numFmtId="0" fontId="224" fillId="9" borderId="250" xfId="46" applyFont="1" applyFill="1" applyBorder="1" applyAlignment="1">
      <alignment horizontal="center" vertical="center"/>
      <protection/>
    </xf>
    <xf numFmtId="0" fontId="224" fillId="9" borderId="251" xfId="46" applyFont="1" applyFill="1" applyBorder="1" applyAlignment="1">
      <alignment horizontal="center" vertical="center"/>
      <protection/>
    </xf>
    <xf numFmtId="0" fontId="14" fillId="78" borderId="92" xfId="46" applyFont="1" applyFill="1" applyBorder="1" applyAlignment="1" applyProtection="1">
      <alignment horizontal="left" vertical="center"/>
      <protection hidden="1"/>
    </xf>
    <xf numFmtId="0" fontId="14" fillId="78" borderId="252" xfId="46" applyFont="1" applyFill="1" applyBorder="1" applyAlignment="1" applyProtection="1">
      <alignment horizontal="left" vertical="center"/>
      <protection hidden="1"/>
    </xf>
    <xf numFmtId="0" fontId="14" fillId="78" borderId="253" xfId="46" applyFont="1" applyFill="1" applyBorder="1" applyAlignment="1" applyProtection="1">
      <alignment horizontal="left" vertical="center"/>
      <protection hidden="1"/>
    </xf>
    <xf numFmtId="0" fontId="14" fillId="78" borderId="237" xfId="46" applyFont="1" applyFill="1" applyBorder="1" applyAlignment="1" applyProtection="1">
      <alignment horizontal="left" vertical="center"/>
      <protection hidden="1"/>
    </xf>
    <xf numFmtId="0" fontId="14" fillId="78" borderId="254" xfId="46" applyFont="1" applyFill="1" applyBorder="1" applyAlignment="1" applyProtection="1">
      <alignment horizontal="left" vertical="center"/>
      <protection hidden="1"/>
    </xf>
    <xf numFmtId="172" fontId="21" fillId="80" borderId="56" xfId="46" applyNumberFormat="1" applyFont="1" applyFill="1" applyBorder="1" applyAlignment="1" applyProtection="1">
      <alignment horizontal="center" vertical="center"/>
      <protection hidden="1"/>
    </xf>
    <xf numFmtId="172" fontId="21" fillId="80" borderId="65" xfId="46" applyNumberFormat="1" applyFont="1" applyFill="1" applyBorder="1" applyAlignment="1" applyProtection="1">
      <alignment horizontal="center" vertical="center"/>
      <protection hidden="1"/>
    </xf>
    <xf numFmtId="0" fontId="3" fillId="51" borderId="255" xfId="46" applyFont="1" applyFill="1" applyBorder="1" applyAlignment="1" applyProtection="1">
      <alignment horizontal="left" vertical="center"/>
      <protection hidden="1"/>
    </xf>
    <xf numFmtId="0" fontId="3" fillId="51" borderId="62" xfId="46" applyFont="1" applyFill="1" applyBorder="1" applyAlignment="1" applyProtection="1">
      <alignment horizontal="left" vertical="center"/>
      <protection hidden="1"/>
    </xf>
    <xf numFmtId="0" fontId="3" fillId="2" borderId="77" xfId="46" applyFont="1" applyFill="1" applyBorder="1" applyAlignment="1" applyProtection="1">
      <alignment horizontal="left" vertical="center"/>
      <protection hidden="1"/>
    </xf>
    <xf numFmtId="0" fontId="3" fillId="2" borderId="78" xfId="46" applyFont="1" applyFill="1" applyBorder="1" applyAlignment="1" applyProtection="1">
      <alignment horizontal="left" vertical="center"/>
      <protection hidden="1"/>
    </xf>
    <xf numFmtId="0" fontId="5" fillId="78" borderId="80" xfId="46" applyFont="1" applyFill="1" applyBorder="1" applyAlignment="1" applyProtection="1">
      <alignment horizontal="left" vertical="center" wrapText="1"/>
      <protection hidden="1"/>
    </xf>
    <xf numFmtId="0" fontId="14" fillId="83" borderId="92" xfId="46" applyFont="1" applyFill="1" applyBorder="1" applyAlignment="1" applyProtection="1">
      <alignment horizontal="left" vertical="center" wrapText="1"/>
      <protection hidden="1"/>
    </xf>
    <xf numFmtId="0" fontId="14" fillId="83" borderId="256" xfId="46" applyFont="1" applyFill="1" applyBorder="1" applyAlignment="1" applyProtection="1">
      <alignment horizontal="left" vertical="center" wrapText="1"/>
      <protection hidden="1"/>
    </xf>
    <xf numFmtId="0" fontId="209" fillId="32" borderId="241" xfId="46" applyFont="1" applyFill="1" applyBorder="1" applyAlignment="1" applyProtection="1">
      <alignment horizontal="center"/>
      <protection hidden="1" locked="0"/>
    </xf>
    <xf numFmtId="0" fontId="209" fillId="32" borderId="92" xfId="46" applyFont="1" applyFill="1" applyBorder="1" applyAlignment="1" applyProtection="1">
      <alignment horizontal="center"/>
      <protection hidden="1" locked="0"/>
    </xf>
    <xf numFmtId="172" fontId="26" fillId="84" borderId="56" xfId="46" applyNumberFormat="1" applyFont="1" applyFill="1" applyBorder="1" applyAlignment="1" applyProtection="1">
      <alignment horizontal="center" vertical="center"/>
      <protection hidden="1"/>
    </xf>
    <xf numFmtId="172" fontId="26" fillId="84" borderId="58" xfId="46" applyNumberFormat="1" applyFont="1" applyFill="1" applyBorder="1" applyAlignment="1" applyProtection="1">
      <alignment horizontal="center" vertical="center"/>
      <protection hidden="1"/>
    </xf>
    <xf numFmtId="0" fontId="46" fillId="76" borderId="126" xfId="46" applyFont="1" applyFill="1" applyBorder="1" applyAlignment="1" applyProtection="1">
      <alignment horizontal="center" vertical="center"/>
      <protection hidden="1"/>
    </xf>
    <xf numFmtId="0" fontId="46" fillId="76" borderId="0" xfId="46" applyFont="1" applyFill="1" applyBorder="1" applyAlignment="1" applyProtection="1">
      <alignment horizontal="center" vertical="center"/>
      <protection hidden="1"/>
    </xf>
    <xf numFmtId="0" fontId="21" fillId="85" borderId="237" xfId="46" applyFont="1" applyFill="1" applyBorder="1" applyAlignment="1" applyProtection="1">
      <alignment horizontal="center" vertical="center"/>
      <protection hidden="1"/>
    </xf>
    <xf numFmtId="0" fontId="21" fillId="85" borderId="238" xfId="46" applyFont="1" applyFill="1" applyBorder="1" applyAlignment="1" applyProtection="1">
      <alignment horizontal="center" vertical="center"/>
      <protection hidden="1"/>
    </xf>
    <xf numFmtId="0" fontId="209" fillId="32" borderId="123" xfId="46" applyFont="1" applyFill="1" applyBorder="1" applyAlignment="1" applyProtection="1">
      <alignment horizontal="center"/>
      <protection hidden="1" locked="0"/>
    </xf>
    <xf numFmtId="0" fontId="209" fillId="32" borderId="237" xfId="46" applyFont="1" applyFill="1" applyBorder="1" applyAlignment="1" applyProtection="1">
      <alignment horizontal="center"/>
      <protection hidden="1" locked="0"/>
    </xf>
    <xf numFmtId="0" fontId="14" fillId="83" borderId="237" xfId="46" applyFont="1" applyFill="1" applyBorder="1" applyAlignment="1" applyProtection="1">
      <alignment horizontal="left" vertical="center"/>
      <protection hidden="1"/>
    </xf>
    <xf numFmtId="0" fontId="14" fillId="83" borderId="238" xfId="46" applyFont="1" applyFill="1" applyBorder="1" applyAlignment="1" applyProtection="1">
      <alignment horizontal="left" vertical="center"/>
      <protection hidden="1"/>
    </xf>
    <xf numFmtId="0" fontId="3" fillId="0" borderId="82" xfId="46" applyFont="1" applyBorder="1" applyAlignment="1">
      <alignment horizontal="center"/>
      <protection/>
    </xf>
    <xf numFmtId="0" fontId="3" fillId="0" borderId="60" xfId="46" applyFont="1" applyBorder="1" applyAlignment="1">
      <alignment horizontal="center"/>
      <protection/>
    </xf>
    <xf numFmtId="0" fontId="47" fillId="51" borderId="0" xfId="46" applyFont="1" applyFill="1" applyBorder="1" applyAlignment="1" applyProtection="1">
      <alignment horizontal="center" vertical="center" wrapText="1"/>
      <protection hidden="1"/>
    </xf>
    <xf numFmtId="0" fontId="14" fillId="51" borderId="66" xfId="46" applyFont="1" applyFill="1" applyBorder="1" applyAlignment="1" applyProtection="1">
      <alignment horizontal="center" vertical="center" wrapText="1"/>
      <protection hidden="1"/>
    </xf>
    <xf numFmtId="0" fontId="14" fillId="51" borderId="257" xfId="46" applyFont="1" applyFill="1" applyBorder="1" applyAlignment="1" applyProtection="1">
      <alignment horizontal="center" vertical="center" wrapText="1"/>
      <protection hidden="1"/>
    </xf>
    <xf numFmtId="0" fontId="14" fillId="51" borderId="0" xfId="46" applyFont="1" applyFill="1" applyBorder="1" applyAlignment="1" applyProtection="1">
      <alignment horizontal="center" vertical="center" wrapText="1"/>
      <protection hidden="1"/>
    </xf>
    <xf numFmtId="0" fontId="14" fillId="51" borderId="14" xfId="46" applyFont="1" applyFill="1" applyBorder="1" applyAlignment="1" applyProtection="1">
      <alignment horizontal="center" vertical="center" wrapText="1"/>
      <protection hidden="1"/>
    </xf>
    <xf numFmtId="0" fontId="6" fillId="51" borderId="76" xfId="46" applyFont="1" applyFill="1" applyBorder="1" applyAlignment="1" applyProtection="1">
      <alignment horizontal="center" vertical="center" wrapText="1"/>
      <protection hidden="1"/>
    </xf>
    <xf numFmtId="0" fontId="6" fillId="51" borderId="78" xfId="46" applyFont="1" applyFill="1" applyBorder="1" applyAlignment="1" applyProtection="1">
      <alignment horizontal="center" vertical="center" wrapText="1"/>
      <protection hidden="1"/>
    </xf>
    <xf numFmtId="0" fontId="3" fillId="0" borderId="105" xfId="46" applyFont="1" applyFill="1" applyBorder="1" applyAlignment="1" applyProtection="1">
      <alignment horizontal="center" vertical="center"/>
      <protection hidden="1"/>
    </xf>
    <xf numFmtId="0" fontId="209" fillId="32" borderId="105" xfId="46" applyFont="1" applyFill="1" applyBorder="1" applyAlignment="1" applyProtection="1">
      <alignment horizontal="center" vertical="center"/>
      <protection hidden="1" locked="0"/>
    </xf>
    <xf numFmtId="0" fontId="50" fillId="51" borderId="76" xfId="46" applyFont="1" applyFill="1" applyBorder="1" applyAlignment="1" applyProtection="1">
      <alignment horizontal="center" vertical="center" wrapText="1"/>
      <protection hidden="1"/>
    </xf>
    <xf numFmtId="0" fontId="50" fillId="51" borderId="78" xfId="46" applyFont="1" applyFill="1" applyBorder="1" applyAlignment="1" applyProtection="1">
      <alignment horizontal="center" vertical="center" wrapText="1"/>
      <protection hidden="1"/>
    </xf>
    <xf numFmtId="0" fontId="50" fillId="51" borderId="19" xfId="46" applyFont="1" applyFill="1" applyBorder="1" applyAlignment="1" applyProtection="1">
      <alignment horizontal="center" vertical="center" wrapText="1"/>
      <protection hidden="1"/>
    </xf>
    <xf numFmtId="0" fontId="50" fillId="51" borderId="21" xfId="46" applyFont="1" applyFill="1" applyBorder="1" applyAlignment="1" applyProtection="1">
      <alignment horizontal="center" vertical="center" wrapText="1"/>
      <protection hidden="1"/>
    </xf>
    <xf numFmtId="0" fontId="3" fillId="51" borderId="76" xfId="46" applyFont="1" applyFill="1" applyBorder="1" applyAlignment="1" applyProtection="1">
      <alignment horizontal="center" vertical="center" wrapText="1"/>
      <protection hidden="1"/>
    </xf>
    <xf numFmtId="0" fontId="3" fillId="51" borderId="78" xfId="46" applyFont="1" applyFill="1" applyBorder="1" applyAlignment="1" applyProtection="1">
      <alignment horizontal="center" vertical="center" wrapText="1"/>
      <protection hidden="1"/>
    </xf>
    <xf numFmtId="0" fontId="209" fillId="32" borderId="88" xfId="46" applyFont="1" applyFill="1" applyBorder="1" applyAlignment="1" applyProtection="1">
      <alignment horizontal="center" vertical="center"/>
      <protection hidden="1" locked="0"/>
    </xf>
    <xf numFmtId="0" fontId="3" fillId="0" borderId="0" xfId="46" applyFont="1" applyBorder="1" applyAlignment="1">
      <alignment horizontal="left" wrapText="1"/>
      <protection/>
    </xf>
    <xf numFmtId="0" fontId="3" fillId="0" borderId="16" xfId="46" applyFont="1" applyBorder="1" applyAlignment="1">
      <alignment horizontal="center"/>
      <protection/>
    </xf>
    <xf numFmtId="0" fontId="3" fillId="0" borderId="66" xfId="46" applyFont="1" applyBorder="1" applyAlignment="1">
      <alignment horizontal="center"/>
      <protection/>
    </xf>
    <xf numFmtId="0" fontId="3" fillId="16" borderId="0" xfId="46" applyFont="1" applyFill="1" applyAlignment="1">
      <alignment horizontal="center"/>
      <protection/>
    </xf>
    <xf numFmtId="0" fontId="3" fillId="0" borderId="63" xfId="46" applyFont="1" applyBorder="1" applyAlignment="1">
      <alignment horizontal="center"/>
      <protection/>
    </xf>
    <xf numFmtId="0" fontId="3" fillId="0" borderId="75" xfId="46" applyFont="1" applyBorder="1" applyAlignment="1">
      <alignment horizontal="center"/>
      <protection/>
    </xf>
    <xf numFmtId="0" fontId="3" fillId="0" borderId="0" xfId="46" applyFont="1" applyAlignment="1">
      <alignment horizontal="center" vertical="center" wrapText="1"/>
      <protection/>
    </xf>
    <xf numFmtId="0" fontId="3" fillId="0" borderId="79" xfId="46" applyFont="1" applyBorder="1" applyAlignment="1">
      <alignment horizontal="center"/>
      <protection/>
    </xf>
    <xf numFmtId="0" fontId="3" fillId="0" borderId="80" xfId="46" applyFont="1" applyBorder="1" applyAlignment="1">
      <alignment horizontal="center"/>
      <protection/>
    </xf>
    <xf numFmtId="0" fontId="3" fillId="0" borderId="68" xfId="46" applyFont="1" applyBorder="1" applyAlignment="1">
      <alignment horizontal="center"/>
      <protection/>
    </xf>
    <xf numFmtId="0" fontId="46" fillId="53" borderId="258" xfId="46" applyFont="1" applyFill="1" applyBorder="1" applyAlignment="1" applyProtection="1">
      <alignment horizontal="center" vertical="center"/>
      <protection hidden="1"/>
    </xf>
    <xf numFmtId="0" fontId="46" fillId="53" borderId="200" xfId="46" applyFont="1" applyFill="1" applyBorder="1" applyAlignment="1" applyProtection="1">
      <alignment horizontal="center" vertical="center"/>
      <protection hidden="1"/>
    </xf>
    <xf numFmtId="0" fontId="225" fillId="86" borderId="237" xfId="46" applyFont="1" applyFill="1" applyBorder="1" applyAlignment="1">
      <alignment horizontal="center" vertical="center"/>
      <protection/>
    </xf>
    <xf numFmtId="0" fontId="225" fillId="86" borderId="254" xfId="46" applyFont="1" applyFill="1" applyBorder="1" applyAlignment="1">
      <alignment horizontal="center" vertical="center"/>
      <protection/>
    </xf>
    <xf numFmtId="0" fontId="6" fillId="87" borderId="59" xfId="46" applyFont="1" applyFill="1" applyBorder="1" applyAlignment="1" applyProtection="1">
      <alignment horizontal="center" vertical="center" wrapText="1"/>
      <protection hidden="1"/>
    </xf>
    <xf numFmtId="0" fontId="6" fillId="87" borderId="67" xfId="46" applyFont="1" applyFill="1" applyBorder="1" applyAlignment="1" applyProtection="1">
      <alignment horizontal="center" vertical="center" wrapText="1"/>
      <protection hidden="1"/>
    </xf>
    <xf numFmtId="0" fontId="17" fillId="52" borderId="238" xfId="0" applyFont="1" applyFill="1" applyBorder="1" applyAlignment="1">
      <alignment horizontal="center"/>
    </xf>
    <xf numFmtId="0" fontId="17" fillId="52" borderId="90" xfId="0" applyFont="1" applyFill="1" applyBorder="1" applyAlignment="1">
      <alignment horizontal="center"/>
    </xf>
    <xf numFmtId="49" fontId="72" fillId="32" borderId="259" xfId="39" applyNumberFormat="1" applyFont="1" applyFill="1" applyBorder="1" applyAlignment="1" applyProtection="1">
      <alignment horizontal="center" vertical="center"/>
      <protection hidden="1" locked="0"/>
    </xf>
    <xf numFmtId="49" fontId="72" fillId="32" borderId="260" xfId="39" applyNumberFormat="1" applyFont="1" applyFill="1" applyBorder="1" applyAlignment="1" applyProtection="1">
      <alignment horizontal="center" vertical="center"/>
      <protection hidden="1" locked="0"/>
    </xf>
    <xf numFmtId="0" fontId="3" fillId="51" borderId="261" xfId="46" applyFont="1" applyFill="1" applyBorder="1" applyAlignment="1" applyProtection="1">
      <alignment horizontal="left" vertical="center"/>
      <protection hidden="1"/>
    </xf>
    <xf numFmtId="0" fontId="3" fillId="51" borderId="262" xfId="46" applyFont="1" applyFill="1" applyBorder="1" applyAlignment="1" applyProtection="1">
      <alignment horizontal="left" vertical="center"/>
      <protection hidden="1"/>
    </xf>
    <xf numFmtId="0" fontId="21" fillId="87" borderId="76" xfId="46" applyFont="1" applyFill="1" applyBorder="1" applyAlignment="1" applyProtection="1">
      <alignment horizontal="center" vertical="center" wrapText="1"/>
      <protection hidden="1"/>
    </xf>
    <xf numFmtId="0" fontId="21" fillId="87" borderId="19" xfId="46" applyFont="1" applyFill="1" applyBorder="1" applyAlignment="1" applyProtection="1">
      <alignment horizontal="center" vertical="center" wrapText="1"/>
      <protection hidden="1"/>
    </xf>
    <xf numFmtId="0" fontId="21" fillId="78" borderId="237" xfId="46" applyFont="1" applyFill="1" applyBorder="1" applyAlignment="1" applyProtection="1">
      <alignment horizontal="center" vertical="center" wrapText="1"/>
      <protection hidden="1"/>
    </xf>
    <xf numFmtId="0" fontId="21" fillId="78" borderId="263" xfId="46" applyFont="1" applyFill="1" applyBorder="1" applyAlignment="1" applyProtection="1">
      <alignment horizontal="center" vertical="center" wrapText="1"/>
      <protection hidden="1"/>
    </xf>
    <xf numFmtId="0" fontId="21" fillId="88" borderId="238" xfId="46" applyFont="1" applyFill="1" applyBorder="1" applyAlignment="1" applyProtection="1">
      <alignment horizontal="center" vertical="center"/>
      <protection hidden="1"/>
    </xf>
    <xf numFmtId="0" fontId="21" fillId="88" borderId="90" xfId="46" applyFont="1" applyFill="1" applyBorder="1" applyAlignment="1" applyProtection="1">
      <alignment horizontal="center" vertical="center"/>
      <protection hidden="1"/>
    </xf>
    <xf numFmtId="0" fontId="3" fillId="51" borderId="20" xfId="46" applyFont="1" applyFill="1" applyBorder="1" applyAlignment="1" applyProtection="1">
      <alignment horizontal="left" vertical="center"/>
      <protection hidden="1"/>
    </xf>
    <xf numFmtId="0" fontId="3" fillId="51" borderId="21" xfId="46" applyFont="1" applyFill="1" applyBorder="1" applyAlignment="1" applyProtection="1">
      <alignment horizontal="left" vertical="center"/>
      <protection hidden="1"/>
    </xf>
    <xf numFmtId="0" fontId="220" fillId="16" borderId="264" xfId="46" applyFont="1" applyFill="1" applyBorder="1" applyAlignment="1">
      <alignment horizontal="center" vertical="center" wrapText="1"/>
      <protection/>
    </xf>
    <xf numFmtId="0" fontId="220" fillId="16" borderId="265" xfId="46" applyFont="1" applyFill="1" applyBorder="1" applyAlignment="1">
      <alignment horizontal="center" vertical="center" wrapText="1"/>
      <protection/>
    </xf>
    <xf numFmtId="0" fontId="44" fillId="89" borderId="246" xfId="46" applyFont="1" applyFill="1" applyBorder="1" applyAlignment="1" applyProtection="1">
      <alignment horizontal="center" vertical="center"/>
      <protection hidden="1" locked="0"/>
    </xf>
    <xf numFmtId="0" fontId="44" fillId="89" borderId="207" xfId="46" applyFont="1" applyFill="1" applyBorder="1" applyAlignment="1" applyProtection="1">
      <alignment horizontal="center" vertical="center"/>
      <protection hidden="1" locked="0"/>
    </xf>
    <xf numFmtId="0" fontId="44" fillId="89" borderId="266" xfId="46" applyFont="1" applyFill="1" applyBorder="1" applyAlignment="1" applyProtection="1">
      <alignment horizontal="center" vertical="center"/>
      <protection hidden="1" locked="0"/>
    </xf>
    <xf numFmtId="0" fontId="44" fillId="89" borderId="267" xfId="46" applyFont="1" applyFill="1" applyBorder="1" applyAlignment="1" applyProtection="1">
      <alignment horizontal="center" vertical="center"/>
      <protection hidden="1" locked="0"/>
    </xf>
    <xf numFmtId="0" fontId="44" fillId="89" borderId="0" xfId="46" applyFont="1" applyFill="1" applyBorder="1" applyAlignment="1" applyProtection="1">
      <alignment horizontal="center" vertical="center"/>
      <protection hidden="1" locked="0"/>
    </xf>
    <xf numFmtId="0" fontId="44" fillId="89" borderId="268" xfId="46" applyFont="1" applyFill="1" applyBorder="1" applyAlignment="1" applyProtection="1">
      <alignment horizontal="center" vertical="center"/>
      <protection hidden="1" locked="0"/>
    </xf>
    <xf numFmtId="0" fontId="21" fillId="78" borderId="237" xfId="46" applyFont="1" applyFill="1" applyBorder="1" applyAlignment="1" applyProtection="1">
      <alignment horizontal="center" wrapText="1"/>
      <protection hidden="1"/>
    </xf>
    <xf numFmtId="0" fontId="21" fillId="78" borderId="263" xfId="46" applyFont="1" applyFill="1" applyBorder="1" applyAlignment="1" applyProtection="1">
      <alignment horizontal="center" wrapText="1"/>
      <protection hidden="1"/>
    </xf>
    <xf numFmtId="0" fontId="209" fillId="32" borderId="269" xfId="46" applyFont="1" applyFill="1" applyBorder="1" applyAlignment="1" applyProtection="1">
      <alignment horizontal="center"/>
      <protection hidden="1" locked="0"/>
    </xf>
    <xf numFmtId="0" fontId="209" fillId="32" borderId="270" xfId="46" applyFont="1" applyFill="1" applyBorder="1" applyAlignment="1" applyProtection="1">
      <alignment horizontal="center"/>
      <protection hidden="1" locked="0"/>
    </xf>
    <xf numFmtId="0" fontId="21" fillId="90" borderId="231" xfId="46" applyFont="1" applyFill="1" applyBorder="1" applyAlignment="1" applyProtection="1">
      <alignment horizontal="center" vertical="center"/>
      <protection hidden="1"/>
    </xf>
    <xf numFmtId="0" fontId="21" fillId="90" borderId="232" xfId="46" applyFont="1" applyFill="1" applyBorder="1" applyAlignment="1" applyProtection="1">
      <alignment horizontal="center" vertical="center"/>
      <protection hidden="1"/>
    </xf>
    <xf numFmtId="0" fontId="21" fillId="90" borderId="233" xfId="46" applyFont="1" applyFill="1" applyBorder="1" applyAlignment="1" applyProtection="1">
      <alignment horizontal="center" vertical="center"/>
      <protection hidden="1"/>
    </xf>
    <xf numFmtId="0" fontId="209" fillId="32" borderId="271" xfId="46" applyFont="1" applyFill="1" applyBorder="1" applyAlignment="1" applyProtection="1">
      <alignment horizontal="center"/>
      <protection hidden="1" locked="0"/>
    </xf>
    <xf numFmtId="0" fontId="209" fillId="32" borderId="234" xfId="46" applyFont="1" applyFill="1" applyBorder="1" applyAlignment="1" applyProtection="1">
      <alignment horizontal="center"/>
      <protection hidden="1" locked="0"/>
    </xf>
    <xf numFmtId="0" fontId="3" fillId="51" borderId="272" xfId="46" applyFont="1" applyFill="1" applyBorder="1" applyAlignment="1" applyProtection="1">
      <alignment horizontal="left" vertical="center"/>
      <protection hidden="1"/>
    </xf>
    <xf numFmtId="0" fontId="3" fillId="51" borderId="273" xfId="46" applyFont="1" applyFill="1" applyBorder="1" applyAlignment="1" applyProtection="1">
      <alignment horizontal="left" vertical="center"/>
      <protection hidden="1"/>
    </xf>
    <xf numFmtId="0" fontId="3" fillId="51" borderId="58" xfId="46" applyFont="1" applyFill="1" applyBorder="1" applyAlignment="1" applyProtection="1">
      <alignment horizontal="left" vertical="center"/>
      <protection hidden="1"/>
    </xf>
    <xf numFmtId="0" fontId="3" fillId="51" borderId="265" xfId="46" applyFont="1" applyFill="1" applyBorder="1" applyAlignment="1" applyProtection="1">
      <alignment horizontal="left" vertical="center"/>
      <protection hidden="1"/>
    </xf>
    <xf numFmtId="0" fontId="3" fillId="78" borderId="234" xfId="46" applyFont="1" applyFill="1" applyBorder="1" applyAlignment="1" applyProtection="1">
      <alignment horizontal="left"/>
      <protection hidden="1"/>
    </xf>
    <xf numFmtId="0" fontId="3" fillId="78" borderId="235" xfId="46" applyFont="1" applyFill="1" applyBorder="1" applyAlignment="1" applyProtection="1">
      <alignment horizontal="left"/>
      <protection hidden="1"/>
    </xf>
    <xf numFmtId="0" fontId="3" fillId="43" borderId="274" xfId="46" applyFont="1" applyFill="1" applyBorder="1" applyAlignment="1" applyProtection="1">
      <alignment horizontal="left" vertical="center"/>
      <protection hidden="1"/>
    </xf>
    <xf numFmtId="0" fontId="3" fillId="43" borderId="275" xfId="46" applyFont="1" applyFill="1" applyBorder="1" applyAlignment="1" applyProtection="1">
      <alignment horizontal="left" vertical="center"/>
      <protection hidden="1"/>
    </xf>
    <xf numFmtId="0" fontId="5" fillId="91" borderId="39" xfId="46" applyFont="1" applyFill="1" applyBorder="1" applyAlignment="1">
      <alignment horizontal="center" vertical="center" wrapText="1"/>
      <protection/>
    </xf>
    <xf numFmtId="0" fontId="5" fillId="91" borderId="0" xfId="46" applyFont="1" applyFill="1" applyBorder="1" applyAlignment="1">
      <alignment horizontal="center" vertical="center" wrapText="1"/>
      <protection/>
    </xf>
    <xf numFmtId="0" fontId="5" fillId="91" borderId="40" xfId="46" applyFont="1" applyFill="1" applyBorder="1" applyAlignment="1">
      <alignment horizontal="center" vertical="center" wrapText="1"/>
      <protection/>
    </xf>
    <xf numFmtId="0" fontId="5" fillId="91" borderId="42" xfId="46" applyFont="1" applyFill="1" applyBorder="1" applyAlignment="1">
      <alignment horizontal="center" vertical="center" wrapText="1"/>
      <protection/>
    </xf>
    <xf numFmtId="0" fontId="32" fillId="89" borderId="267" xfId="46" applyFont="1" applyFill="1" applyBorder="1" applyAlignment="1">
      <alignment horizontal="center" vertical="center"/>
      <protection/>
    </xf>
    <xf numFmtId="0" fontId="32" fillId="89" borderId="0" xfId="46" applyFont="1" applyFill="1" applyBorder="1" applyAlignment="1">
      <alignment horizontal="center" vertical="center"/>
      <protection/>
    </xf>
    <xf numFmtId="0" fontId="32" fillId="89" borderId="276" xfId="46" applyFont="1" applyFill="1" applyBorder="1" applyAlignment="1">
      <alignment horizontal="center" vertical="center"/>
      <protection/>
    </xf>
    <xf numFmtId="0" fontId="32" fillId="89" borderId="234" xfId="46" applyFont="1" applyFill="1" applyBorder="1" applyAlignment="1">
      <alignment horizontal="center" vertical="center"/>
      <protection/>
    </xf>
    <xf numFmtId="0" fontId="19" fillId="92" borderId="37" xfId="46" applyFont="1" applyFill="1" applyBorder="1" applyAlignment="1" applyProtection="1">
      <alignment horizontal="center" vertical="center" wrapText="1"/>
      <protection hidden="1"/>
    </xf>
    <xf numFmtId="0" fontId="19" fillId="92" borderId="38" xfId="46" applyFont="1" applyFill="1" applyBorder="1" applyAlignment="1" applyProtection="1">
      <alignment horizontal="center" vertical="center" wrapText="1"/>
      <protection hidden="1"/>
    </xf>
    <xf numFmtId="0" fontId="19" fillId="92" borderId="42" xfId="46" applyFont="1" applyFill="1" applyBorder="1" applyAlignment="1" applyProtection="1">
      <alignment horizontal="center" vertical="center" wrapText="1"/>
      <protection hidden="1"/>
    </xf>
    <xf numFmtId="0" fontId="19" fillId="92" borderId="43" xfId="46" applyFont="1" applyFill="1" applyBorder="1" applyAlignment="1" applyProtection="1">
      <alignment horizontal="center" vertical="center" wrapText="1"/>
      <protection hidden="1"/>
    </xf>
    <xf numFmtId="0" fontId="51" fillId="75" borderId="277" xfId="46" applyFont="1" applyFill="1" applyBorder="1" applyAlignment="1" applyProtection="1">
      <alignment horizontal="center" vertical="center"/>
      <protection hidden="1"/>
    </xf>
    <xf numFmtId="0" fontId="21" fillId="36" borderId="256" xfId="46" applyFont="1" applyFill="1" applyBorder="1" applyAlignment="1" applyProtection="1">
      <alignment horizontal="center" vertical="center" wrapText="1"/>
      <protection hidden="1"/>
    </xf>
    <xf numFmtId="0" fontId="21" fillId="36" borderId="235" xfId="46" applyFont="1" applyFill="1" applyBorder="1" applyAlignment="1" applyProtection="1">
      <alignment horizontal="center" vertical="center" wrapText="1"/>
      <protection hidden="1"/>
    </xf>
    <xf numFmtId="0" fontId="3" fillId="36" borderId="241" xfId="46" applyFont="1" applyFill="1" applyBorder="1" applyAlignment="1" applyProtection="1">
      <alignment horizontal="center" vertical="center" wrapText="1"/>
      <protection hidden="1"/>
    </xf>
    <xf numFmtId="0" fontId="3" fillId="36" borderId="271" xfId="46" applyFont="1" applyFill="1" applyBorder="1" applyAlignment="1" applyProtection="1">
      <alignment horizontal="center" vertical="center" wrapText="1"/>
      <protection hidden="1"/>
    </xf>
    <xf numFmtId="0" fontId="14" fillId="17" borderId="267" xfId="46" applyFont="1" applyFill="1" applyBorder="1" applyAlignment="1">
      <alignment horizontal="center" vertical="center" wrapText="1"/>
      <protection/>
    </xf>
    <xf numFmtId="0" fontId="14" fillId="17" borderId="40" xfId="46" applyFont="1" applyFill="1" applyBorder="1" applyAlignment="1">
      <alignment horizontal="center" vertical="center" wrapText="1"/>
      <protection/>
    </xf>
    <xf numFmtId="0" fontId="3" fillId="51" borderId="264" xfId="46" applyFont="1" applyFill="1" applyBorder="1" applyAlignment="1" applyProtection="1">
      <alignment horizontal="left" vertical="center"/>
      <protection hidden="1"/>
    </xf>
    <xf numFmtId="0" fontId="3" fillId="51" borderId="278" xfId="46" applyFont="1" applyFill="1" applyBorder="1" applyAlignment="1" applyProtection="1">
      <alignment horizontal="left"/>
      <protection hidden="1"/>
    </xf>
    <xf numFmtId="0" fontId="3" fillId="51" borderId="279" xfId="46" applyFont="1" applyFill="1" applyBorder="1" applyAlignment="1" applyProtection="1">
      <alignment horizontal="left"/>
      <protection hidden="1"/>
    </xf>
    <xf numFmtId="0" fontId="45" fillId="75" borderId="135" xfId="46" applyFont="1" applyFill="1" applyBorder="1" applyAlignment="1" applyProtection="1">
      <alignment horizontal="center" vertical="center"/>
      <protection hidden="1"/>
    </xf>
    <xf numFmtId="0" fontId="45" fillId="75" borderId="280" xfId="46" applyFont="1" applyFill="1" applyBorder="1" applyAlignment="1" applyProtection="1">
      <alignment horizontal="center" vertical="center"/>
      <protection hidden="1"/>
    </xf>
    <xf numFmtId="0" fontId="209" fillId="32" borderId="19" xfId="46" applyFont="1" applyFill="1" applyBorder="1" applyAlignment="1" applyProtection="1">
      <alignment horizontal="center" vertical="center"/>
      <protection hidden="1" locked="0"/>
    </xf>
    <xf numFmtId="0" fontId="209" fillId="32" borderId="20" xfId="46" applyFont="1" applyFill="1" applyBorder="1" applyAlignment="1" applyProtection="1">
      <alignment horizontal="center" vertical="center"/>
      <protection hidden="1" locked="0"/>
    </xf>
    <xf numFmtId="0" fontId="3" fillId="51" borderId="16" xfId="46" applyFont="1" applyFill="1" applyBorder="1" applyAlignment="1" applyProtection="1">
      <alignment horizontal="left" vertical="center"/>
      <protection hidden="1"/>
    </xf>
    <xf numFmtId="0" fontId="3" fillId="51" borderId="18" xfId="46" applyFont="1" applyFill="1" applyBorder="1" applyAlignment="1" applyProtection="1">
      <alignment horizontal="left" vertical="center"/>
      <protection hidden="1"/>
    </xf>
    <xf numFmtId="0" fontId="3" fillId="51" borderId="264" xfId="46" applyFont="1" applyFill="1" applyBorder="1" applyAlignment="1" applyProtection="1">
      <alignment horizontal="center" vertical="center"/>
      <protection hidden="1"/>
    </xf>
    <xf numFmtId="1" fontId="209" fillId="32" borderId="56" xfId="46" applyNumberFormat="1" applyFont="1" applyFill="1" applyBorder="1" applyAlignment="1" applyProtection="1">
      <alignment horizontal="center" vertical="center"/>
      <protection hidden="1" locked="0"/>
    </xf>
    <xf numFmtId="1" fontId="209" fillId="32" borderId="65" xfId="46" applyNumberFormat="1" applyFont="1" applyFill="1" applyBorder="1" applyAlignment="1" applyProtection="1">
      <alignment horizontal="center" vertical="center"/>
      <protection hidden="1" locked="0"/>
    </xf>
    <xf numFmtId="0" fontId="226" fillId="54" borderId="281" xfId="46" applyFont="1" applyFill="1" applyBorder="1" applyAlignment="1" applyProtection="1">
      <alignment horizontal="left" vertical="center" wrapText="1"/>
      <protection hidden="1"/>
    </xf>
    <xf numFmtId="0" fontId="226" fillId="54" borderId="133" xfId="46" applyFont="1" applyFill="1" applyBorder="1" applyAlignment="1" applyProtection="1">
      <alignment horizontal="left" vertical="center" wrapText="1"/>
      <protection hidden="1"/>
    </xf>
    <xf numFmtId="0" fontId="226" fillId="54" borderId="134" xfId="46" applyFont="1" applyFill="1" applyBorder="1" applyAlignment="1" applyProtection="1">
      <alignment horizontal="left" vertical="center" wrapText="1"/>
      <protection hidden="1"/>
    </xf>
    <xf numFmtId="0" fontId="20" fillId="0" borderId="61" xfId="46" applyFont="1" applyBorder="1" applyAlignment="1" applyProtection="1">
      <alignment horizontal="left" vertical="center"/>
      <protection hidden="1"/>
    </xf>
    <xf numFmtId="0" fontId="20" fillId="0" borderId="62" xfId="46" applyFont="1" applyBorder="1" applyAlignment="1" applyProtection="1">
      <alignment horizontal="left" vertical="center"/>
      <protection hidden="1"/>
    </xf>
    <xf numFmtId="0" fontId="20" fillId="0" borderId="282" xfId="46" applyFont="1" applyBorder="1" applyAlignment="1" applyProtection="1">
      <alignment horizontal="left" vertical="center"/>
      <protection hidden="1" locked="0"/>
    </xf>
    <xf numFmtId="0" fontId="20" fillId="0" borderId="283" xfId="46" applyFont="1" applyBorder="1" applyAlignment="1" applyProtection="1">
      <alignment horizontal="left" vertical="center"/>
      <protection hidden="1" locked="0"/>
    </xf>
    <xf numFmtId="0" fontId="48" fillId="76" borderId="237" xfId="46" applyFont="1" applyFill="1" applyBorder="1" applyAlignment="1" applyProtection="1">
      <alignment horizontal="center" vertical="center"/>
      <protection hidden="1"/>
    </xf>
    <xf numFmtId="0" fontId="48" fillId="76" borderId="238" xfId="46" applyFont="1" applyFill="1" applyBorder="1" applyAlignment="1" applyProtection="1">
      <alignment horizontal="center" vertical="center"/>
      <protection hidden="1"/>
    </xf>
    <xf numFmtId="0" fontId="46" fillId="76" borderId="284" xfId="46" applyFont="1" applyFill="1" applyBorder="1" applyAlignment="1" applyProtection="1">
      <alignment horizontal="center" vertical="center"/>
      <protection hidden="1"/>
    </xf>
    <xf numFmtId="0" fontId="46" fillId="76" borderId="58" xfId="46" applyFont="1" applyFill="1" applyBorder="1" applyAlignment="1" applyProtection="1">
      <alignment horizontal="center" vertical="center"/>
      <protection hidden="1"/>
    </xf>
    <xf numFmtId="0" fontId="3" fillId="0" borderId="282" xfId="46" applyFont="1" applyBorder="1" applyAlignment="1" applyProtection="1">
      <alignment horizontal="left" vertical="center"/>
      <protection hidden="1"/>
    </xf>
    <xf numFmtId="0" fontId="3" fillId="0" borderId="283" xfId="46" applyFont="1" applyBorder="1" applyAlignment="1" applyProtection="1">
      <alignment horizontal="left" vertical="center"/>
      <protection hidden="1"/>
    </xf>
    <xf numFmtId="0" fontId="51" fillId="93" borderId="285" xfId="46" applyFont="1" applyFill="1" applyBorder="1" applyAlignment="1" applyProtection="1">
      <alignment horizontal="center" vertical="center"/>
      <protection hidden="1"/>
    </xf>
    <xf numFmtId="0" fontId="51" fillId="93" borderId="286" xfId="46" applyFont="1" applyFill="1" applyBorder="1" applyAlignment="1" applyProtection="1">
      <alignment horizontal="center" vertical="center"/>
      <protection hidden="1"/>
    </xf>
    <xf numFmtId="0" fontId="209" fillId="16" borderId="287" xfId="46" applyFont="1" applyFill="1" applyBorder="1" applyAlignment="1" applyProtection="1">
      <alignment horizontal="center" vertical="center"/>
      <protection hidden="1"/>
    </xf>
    <xf numFmtId="0" fontId="209" fillId="16" borderId="136" xfId="46" applyFont="1" applyFill="1" applyBorder="1" applyAlignment="1" applyProtection="1">
      <alignment horizontal="center" vertical="center"/>
      <protection hidden="1"/>
    </xf>
    <xf numFmtId="0" fontId="66" fillId="56" borderId="288" xfId="46" applyFont="1" applyFill="1" applyBorder="1" applyAlignment="1" applyProtection="1">
      <alignment horizontal="left" vertical="center" wrapText="1"/>
      <protection hidden="1"/>
    </xf>
    <xf numFmtId="0" fontId="66" fillId="56" borderId="289" xfId="46" applyFont="1" applyFill="1" applyBorder="1" applyAlignment="1" applyProtection="1">
      <alignment horizontal="left" vertical="center" wrapText="1"/>
      <protection hidden="1"/>
    </xf>
    <xf numFmtId="0" fontId="66" fillId="56" borderId="290" xfId="46" applyFont="1" applyFill="1" applyBorder="1" applyAlignment="1" applyProtection="1">
      <alignment horizontal="left" vertical="center" wrapText="1"/>
      <protection hidden="1"/>
    </xf>
    <xf numFmtId="0" fontId="210" fillId="94" borderId="291" xfId="46" applyFont="1" applyFill="1" applyBorder="1" applyAlignment="1" applyProtection="1">
      <alignment horizontal="left" vertical="center" wrapText="1"/>
      <protection hidden="1"/>
    </xf>
    <xf numFmtId="0" fontId="210" fillId="94" borderId="178" xfId="46" applyFont="1" applyFill="1" applyBorder="1" applyAlignment="1" applyProtection="1">
      <alignment horizontal="left" vertical="center" wrapText="1"/>
      <protection hidden="1"/>
    </xf>
    <xf numFmtId="0" fontId="210" fillId="94" borderId="179" xfId="46" applyFont="1" applyFill="1" applyBorder="1" applyAlignment="1" applyProtection="1">
      <alignment horizontal="left" vertical="center" wrapText="1"/>
      <protection hidden="1"/>
    </xf>
    <xf numFmtId="0" fontId="210" fillId="94" borderId="287" xfId="46" applyFont="1" applyFill="1" applyBorder="1" applyAlignment="1" applyProtection="1">
      <alignment horizontal="center" vertical="center" wrapText="1"/>
      <protection hidden="1"/>
    </xf>
    <xf numFmtId="0" fontId="210" fillId="94" borderId="135" xfId="46" applyFont="1" applyFill="1" applyBorder="1" applyAlignment="1" applyProtection="1">
      <alignment horizontal="center" vertical="center" wrapText="1"/>
      <protection hidden="1"/>
    </xf>
    <xf numFmtId="0" fontId="210" fillId="94" borderId="292" xfId="46" applyFont="1" applyFill="1" applyBorder="1" applyAlignment="1" applyProtection="1">
      <alignment horizontal="center" vertical="center" wrapText="1"/>
      <protection hidden="1"/>
    </xf>
    <xf numFmtId="0" fontId="210" fillId="95" borderId="124" xfId="46" applyFont="1" applyFill="1" applyBorder="1" applyAlignment="1" applyProtection="1">
      <alignment horizontal="center" vertical="center" wrapText="1"/>
      <protection hidden="1" locked="0"/>
    </xf>
    <xf numFmtId="0" fontId="210" fillId="95" borderId="135" xfId="46" applyFont="1" applyFill="1" applyBorder="1" applyAlignment="1" applyProtection="1">
      <alignment horizontal="center" vertical="center" wrapText="1"/>
      <protection hidden="1" locked="0"/>
    </xf>
    <xf numFmtId="0" fontId="210" fillId="95" borderId="136" xfId="46" applyFont="1" applyFill="1" applyBorder="1" applyAlignment="1" applyProtection="1">
      <alignment horizontal="center" vertical="center" wrapText="1"/>
      <protection hidden="1" locked="0"/>
    </xf>
    <xf numFmtId="0" fontId="210" fillId="54" borderId="287" xfId="46" applyFont="1" applyFill="1" applyBorder="1" applyAlignment="1" applyProtection="1">
      <alignment horizontal="center" vertical="center"/>
      <protection hidden="1"/>
    </xf>
    <xf numFmtId="0" fontId="210" fillId="54" borderId="135" xfId="46" applyFont="1" applyFill="1" applyBorder="1" applyAlignment="1" applyProtection="1">
      <alignment horizontal="center" vertical="center"/>
      <protection hidden="1"/>
    </xf>
    <xf numFmtId="0" fontId="210" fillId="54" borderId="292" xfId="46" applyFont="1" applyFill="1" applyBorder="1" applyAlignment="1" applyProtection="1">
      <alignment horizontal="center" vertical="center"/>
      <protection hidden="1"/>
    </xf>
    <xf numFmtId="0" fontId="195" fillId="54" borderId="287" xfId="46" applyFont="1" applyFill="1" applyBorder="1" applyAlignment="1" applyProtection="1">
      <alignment horizontal="center" vertical="center"/>
      <protection hidden="1"/>
    </xf>
    <xf numFmtId="0" fontId="195" fillId="54" borderId="135" xfId="46" applyFont="1" applyFill="1" applyBorder="1" applyAlignment="1" applyProtection="1">
      <alignment horizontal="center" vertical="center"/>
      <protection hidden="1"/>
    </xf>
    <xf numFmtId="0" fontId="195" fillId="54" borderId="292" xfId="46" applyFont="1" applyFill="1" applyBorder="1" applyAlignment="1" applyProtection="1">
      <alignment horizontal="center" vertical="center"/>
      <protection hidden="1"/>
    </xf>
    <xf numFmtId="0" fontId="209" fillId="16" borderId="293" xfId="46" applyFont="1" applyFill="1" applyBorder="1" applyAlignment="1" applyProtection="1">
      <alignment horizontal="center" vertical="center"/>
      <protection hidden="1"/>
    </xf>
    <xf numFmtId="0" fontId="209" fillId="16" borderId="294" xfId="46" applyFont="1" applyFill="1" applyBorder="1" applyAlignment="1" applyProtection="1">
      <alignment horizontal="center" vertical="center"/>
      <protection hidden="1"/>
    </xf>
    <xf numFmtId="0" fontId="195" fillId="94" borderId="295" xfId="46" applyFont="1" applyFill="1" applyBorder="1" applyAlignment="1" applyProtection="1">
      <alignment horizontal="left" vertical="center" wrapText="1"/>
      <protection hidden="1"/>
    </xf>
    <xf numFmtId="0" fontId="195" fillId="94" borderId="296" xfId="46" applyFont="1" applyFill="1" applyBorder="1" applyAlignment="1" applyProtection="1">
      <alignment horizontal="left" vertical="center" wrapText="1"/>
      <protection hidden="1"/>
    </xf>
    <xf numFmtId="0" fontId="195" fillId="94" borderId="297" xfId="46" applyFont="1" applyFill="1" applyBorder="1" applyAlignment="1" applyProtection="1">
      <alignment horizontal="left" vertical="center" wrapText="1"/>
      <protection hidden="1"/>
    </xf>
    <xf numFmtId="0" fontId="216" fillId="96" borderId="124" xfId="46" applyFont="1" applyFill="1" applyBorder="1" applyAlignment="1" applyProtection="1">
      <alignment horizontal="center"/>
      <protection hidden="1"/>
    </xf>
    <xf numFmtId="0" fontId="216" fillId="97" borderId="135" xfId="46" applyFont="1" applyFill="1" applyBorder="1" applyAlignment="1" applyProtection="1">
      <alignment horizontal="center"/>
      <protection hidden="1"/>
    </xf>
    <xf numFmtId="0" fontId="216" fillId="98" borderId="179" xfId="46" applyFont="1" applyFill="1" applyBorder="1" applyAlignment="1" applyProtection="1">
      <alignment horizontal="center"/>
      <protection hidden="1"/>
    </xf>
    <xf numFmtId="0" fontId="36" fillId="99" borderId="298" xfId="46" applyFont="1" applyFill="1" applyBorder="1" applyAlignment="1" applyProtection="1">
      <alignment horizontal="center" vertical="center" wrapText="1"/>
      <protection hidden="1"/>
    </xf>
    <xf numFmtId="0" fontId="36" fillId="99" borderId="299" xfId="46" applyFont="1" applyFill="1" applyBorder="1" applyAlignment="1" applyProtection="1">
      <alignment horizontal="center" vertical="center" wrapText="1"/>
      <protection hidden="1"/>
    </xf>
    <xf numFmtId="0" fontId="36" fillId="99" borderId="300" xfId="46" applyFont="1" applyFill="1" applyBorder="1" applyAlignment="1" applyProtection="1">
      <alignment horizontal="center" vertical="center" wrapText="1"/>
      <protection hidden="1"/>
    </xf>
    <xf numFmtId="0" fontId="36" fillId="99" borderId="137" xfId="46" applyFont="1" applyFill="1" applyBorder="1" applyAlignment="1" applyProtection="1">
      <alignment horizontal="center" vertical="center" wrapText="1"/>
      <protection hidden="1"/>
    </xf>
    <xf numFmtId="0" fontId="36" fillId="99" borderId="301" xfId="46" applyFont="1" applyFill="1" applyBorder="1" applyAlignment="1" applyProtection="1">
      <alignment horizontal="center" vertical="center" wrapText="1"/>
      <protection hidden="1"/>
    </xf>
    <xf numFmtId="0" fontId="36" fillId="99" borderId="302" xfId="46" applyFont="1" applyFill="1" applyBorder="1" applyAlignment="1" applyProtection="1">
      <alignment horizontal="center" vertical="center" wrapText="1"/>
      <protection hidden="1"/>
    </xf>
    <xf numFmtId="0" fontId="23" fillId="54" borderId="241" xfId="46" applyFont="1" applyFill="1" applyBorder="1" applyAlignment="1" applyProtection="1">
      <alignment horizontal="center" vertical="center" wrapText="1"/>
      <protection hidden="1"/>
    </xf>
    <xf numFmtId="0" fontId="23" fillId="54" borderId="256" xfId="46" applyFont="1" applyFill="1" applyBorder="1" applyAlignment="1" applyProtection="1">
      <alignment horizontal="center" vertical="center" wrapText="1"/>
      <protection hidden="1"/>
    </xf>
    <xf numFmtId="0" fontId="23" fillId="54" borderId="243" xfId="46" applyFont="1" applyFill="1" applyBorder="1" applyAlignment="1" applyProtection="1">
      <alignment horizontal="center" vertical="center" wrapText="1"/>
      <protection hidden="1"/>
    </xf>
    <xf numFmtId="0" fontId="23" fillId="54" borderId="303" xfId="46" applyFont="1" applyFill="1" applyBorder="1" applyAlignment="1" applyProtection="1">
      <alignment horizontal="center" vertical="center" wrapText="1"/>
      <protection hidden="1"/>
    </xf>
    <xf numFmtId="0" fontId="225" fillId="100" borderId="90" xfId="46" applyFont="1" applyFill="1" applyBorder="1" applyAlignment="1" applyProtection="1">
      <alignment horizontal="center" vertical="center" wrapText="1"/>
      <protection hidden="1"/>
    </xf>
    <xf numFmtId="0" fontId="225" fillId="100" borderId="304" xfId="46" applyFont="1" applyFill="1" applyBorder="1" applyAlignment="1" applyProtection="1">
      <alignment horizontal="center" vertical="center" wrapText="1"/>
      <protection hidden="1"/>
    </xf>
    <xf numFmtId="0" fontId="23" fillId="54" borderId="90" xfId="46" applyFont="1" applyFill="1" applyBorder="1" applyAlignment="1" applyProtection="1">
      <alignment horizontal="center" vertical="center" wrapText="1"/>
      <protection hidden="1"/>
    </xf>
    <xf numFmtId="0" fontId="23" fillId="54" borderId="304" xfId="46" applyFont="1" applyFill="1" applyBorder="1" applyAlignment="1" applyProtection="1">
      <alignment horizontal="center" vertical="center" wrapText="1"/>
      <protection hidden="1"/>
    </xf>
    <xf numFmtId="0" fontId="225" fillId="100" borderId="241" xfId="46" applyFont="1" applyFill="1" applyBorder="1" applyAlignment="1" applyProtection="1">
      <alignment horizontal="center" vertical="center" wrapText="1"/>
      <protection hidden="1"/>
    </xf>
    <xf numFmtId="0" fontId="225" fillId="100" borderId="256" xfId="46" applyFont="1" applyFill="1" applyBorder="1" applyAlignment="1" applyProtection="1">
      <alignment horizontal="center" vertical="center" wrapText="1"/>
      <protection hidden="1"/>
    </xf>
    <xf numFmtId="0" fontId="225" fillId="100" borderId="243" xfId="46" applyFont="1" applyFill="1" applyBorder="1" applyAlignment="1" applyProtection="1">
      <alignment horizontal="center" vertical="center" wrapText="1"/>
      <protection hidden="1"/>
    </xf>
    <xf numFmtId="0" fontId="225" fillId="100" borderId="303" xfId="46" applyFont="1" applyFill="1" applyBorder="1" applyAlignment="1" applyProtection="1">
      <alignment horizontal="center" vertical="center" wrapText="1"/>
      <protection hidden="1"/>
    </xf>
    <xf numFmtId="0" fontId="3" fillId="32" borderId="291" xfId="46" applyFont="1" applyFill="1" applyBorder="1" applyAlignment="1" applyProtection="1">
      <alignment horizontal="center" vertical="center"/>
      <protection hidden="1" locked="0"/>
    </xf>
    <xf numFmtId="0" fontId="3" fillId="32" borderId="305" xfId="46" applyFont="1" applyFill="1" applyBorder="1" applyAlignment="1" applyProtection="1">
      <alignment horizontal="center" vertical="center"/>
      <protection hidden="1" locked="0"/>
    </xf>
    <xf numFmtId="0" fontId="70" fillId="56" borderId="287" xfId="0" applyFont="1" applyFill="1" applyBorder="1" applyAlignment="1" applyProtection="1">
      <alignment horizontal="left" vertical="center"/>
      <protection hidden="1"/>
    </xf>
    <xf numFmtId="0" fontId="70" fillId="56" borderId="135" xfId="0" applyFont="1" applyFill="1" applyBorder="1" applyAlignment="1" applyProtection="1">
      <alignment horizontal="left" vertical="center"/>
      <protection hidden="1"/>
    </xf>
    <xf numFmtId="0" fontId="70" fillId="56" borderId="136" xfId="0" applyFont="1" applyFill="1" applyBorder="1" applyAlignment="1" applyProtection="1">
      <alignment horizontal="left" vertical="center"/>
      <protection hidden="1"/>
    </xf>
    <xf numFmtId="0" fontId="3" fillId="32" borderId="287" xfId="46" applyFont="1" applyFill="1" applyBorder="1" applyAlignment="1" applyProtection="1">
      <alignment horizontal="center" vertical="center"/>
      <protection hidden="1" locked="0"/>
    </xf>
    <xf numFmtId="0" fontId="3" fillId="32" borderId="136" xfId="46" applyFont="1" applyFill="1" applyBorder="1" applyAlignment="1" applyProtection="1">
      <alignment horizontal="center" vertical="center"/>
      <protection hidden="1" locked="0"/>
    </xf>
    <xf numFmtId="0" fontId="163" fillId="0" borderId="0" xfId="46" applyFont="1" applyBorder="1" applyAlignment="1" applyProtection="1">
      <alignment horizontal="center" vertical="center"/>
      <protection hidden="1"/>
    </xf>
    <xf numFmtId="0" fontId="163" fillId="0" borderId="16" xfId="46" applyFont="1" applyBorder="1" applyAlignment="1" applyProtection="1">
      <alignment horizontal="center" vertical="center"/>
      <protection hidden="1"/>
    </xf>
    <xf numFmtId="0" fontId="3" fillId="0" borderId="0" xfId="46" applyFont="1" applyBorder="1" applyAlignment="1" applyProtection="1">
      <alignment horizontal="center" vertical="center"/>
      <protection hidden="1"/>
    </xf>
    <xf numFmtId="0" fontId="14" fillId="0" borderId="66" xfId="46" applyFont="1" applyFill="1" applyBorder="1" applyAlignment="1" applyProtection="1">
      <alignment horizontal="left" vertical="center"/>
      <protection hidden="1"/>
    </xf>
    <xf numFmtId="172" fontId="194" fillId="0" borderId="53" xfId="46" applyNumberFormat="1" applyFont="1" applyBorder="1" applyAlignment="1" applyProtection="1">
      <alignment horizontal="center" vertical="center"/>
      <protection hidden="1"/>
    </xf>
    <xf numFmtId="0" fontId="11" fillId="0" borderId="306" xfId="46" applyFont="1" applyBorder="1" applyAlignment="1" applyProtection="1">
      <alignment horizontal="left" vertical="center" wrapText="1"/>
      <protection hidden="1"/>
    </xf>
    <xf numFmtId="174" fontId="12" fillId="0" borderId="24" xfId="46" applyNumberFormat="1" applyFont="1" applyBorder="1" applyAlignment="1" applyProtection="1">
      <alignment horizontal="center" vertical="center"/>
      <protection hidden="1"/>
    </xf>
    <xf numFmtId="174" fontId="12" fillId="0" borderId="117" xfId="46" applyNumberFormat="1" applyFont="1" applyBorder="1" applyAlignment="1" applyProtection="1">
      <alignment horizontal="center" vertical="center"/>
      <protection hidden="1"/>
    </xf>
    <xf numFmtId="0" fontId="66" fillId="0" borderId="0" xfId="46" applyFont="1" applyBorder="1" applyAlignment="1">
      <alignment horizontal="left" vertical="center"/>
      <protection/>
    </xf>
    <xf numFmtId="0" fontId="66" fillId="0" borderId="0" xfId="46" applyFont="1" applyBorder="1" applyAlignment="1">
      <alignment horizontal="left"/>
      <protection/>
    </xf>
    <xf numFmtId="0" fontId="65" fillId="0" borderId="0" xfId="46" applyFont="1" applyBorder="1" applyAlignment="1" applyProtection="1">
      <alignment horizontal="left"/>
      <protection hidden="1"/>
    </xf>
    <xf numFmtId="0" fontId="65" fillId="0" borderId="12" xfId="46" applyFont="1" applyBorder="1" applyAlignment="1" applyProtection="1">
      <alignment horizontal="left"/>
      <protection hidden="1"/>
    </xf>
    <xf numFmtId="0" fontId="9" fillId="0" borderId="12" xfId="46" applyFont="1" applyBorder="1" applyAlignment="1" applyProtection="1">
      <alignment horizontal="left"/>
      <protection hidden="1"/>
    </xf>
    <xf numFmtId="0" fontId="143" fillId="0" borderId="12" xfId="46" applyFont="1" applyFill="1" applyBorder="1" applyAlignment="1" applyProtection="1">
      <alignment horizontal="left"/>
      <protection hidden="1"/>
    </xf>
    <xf numFmtId="0" fontId="143" fillId="0" borderId="0" xfId="46" applyFont="1" applyFill="1" applyBorder="1" applyAlignment="1" applyProtection="1">
      <alignment horizontal="left"/>
      <protection hidden="1"/>
    </xf>
    <xf numFmtId="0" fontId="143" fillId="0" borderId="10" xfId="46" applyFont="1" applyFill="1" applyBorder="1" applyAlignment="1" applyProtection="1">
      <alignment horizontal="left"/>
      <protection hidden="1"/>
    </xf>
    <xf numFmtId="174" fontId="227" fillId="0" borderId="307" xfId="46" applyNumberFormat="1" applyFont="1" applyBorder="1" applyAlignment="1" applyProtection="1">
      <alignment horizontal="center" vertical="center"/>
      <protection hidden="1"/>
    </xf>
    <xf numFmtId="174" fontId="227" fillId="0" borderId="308" xfId="46" applyNumberFormat="1" applyFont="1" applyBorder="1" applyAlignment="1" applyProtection="1">
      <alignment horizontal="center" vertical="center"/>
      <protection hidden="1"/>
    </xf>
    <xf numFmtId="174" fontId="227" fillId="0" borderId="99" xfId="46" applyNumberFormat="1" applyFont="1" applyBorder="1" applyAlignment="1" applyProtection="1">
      <alignment horizontal="center" vertical="center"/>
      <protection hidden="1"/>
    </xf>
    <xf numFmtId="0" fontId="8" fillId="0" borderId="11" xfId="46" applyFont="1" applyBorder="1" applyAlignment="1" applyProtection="1">
      <alignment horizontal="center"/>
      <protection hidden="1"/>
    </xf>
    <xf numFmtId="0" fontId="8" fillId="0" borderId="14" xfId="46" applyFont="1" applyBorder="1" applyAlignment="1" applyProtection="1">
      <alignment horizontal="center" vertical="center" wrapText="1"/>
      <protection hidden="1"/>
    </xf>
    <xf numFmtId="0" fontId="9" fillId="0" borderId="11" xfId="46" applyFont="1" applyBorder="1" applyAlignment="1" applyProtection="1">
      <alignment horizontal="left" wrapText="1"/>
      <protection hidden="1"/>
    </xf>
    <xf numFmtId="0" fontId="9" fillId="0" borderId="0" xfId="46" applyFont="1" applyBorder="1" applyAlignment="1" applyProtection="1">
      <alignment horizontal="left" wrapText="1"/>
      <protection hidden="1"/>
    </xf>
    <xf numFmtId="0" fontId="9" fillId="0" borderId="14" xfId="46" applyFont="1" applyBorder="1" applyAlignment="1" applyProtection="1">
      <alignment horizontal="left" wrapText="1"/>
      <protection hidden="1"/>
    </xf>
    <xf numFmtId="0" fontId="42" fillId="0" borderId="111" xfId="46" applyFont="1" applyBorder="1" applyAlignment="1" applyProtection="1">
      <alignment horizontal="center"/>
      <protection hidden="1"/>
    </xf>
    <xf numFmtId="0" fontId="42" fillId="0" borderId="66" xfId="46" applyFont="1" applyBorder="1" applyAlignment="1" applyProtection="1">
      <alignment horizontal="center"/>
      <protection hidden="1"/>
    </xf>
    <xf numFmtId="0" fontId="42" fillId="0" borderId="257" xfId="46" applyFont="1" applyBorder="1" applyAlignment="1" applyProtection="1">
      <alignment horizontal="center"/>
      <protection hidden="1"/>
    </xf>
    <xf numFmtId="17" fontId="194" fillId="0" borderId="53" xfId="46" applyNumberFormat="1" applyFont="1" applyBorder="1" applyAlignment="1" applyProtection="1">
      <alignment horizontal="center"/>
      <protection hidden="1"/>
    </xf>
    <xf numFmtId="0" fontId="143" fillId="0" borderId="12" xfId="46" applyFont="1" applyBorder="1" applyAlignment="1" applyProtection="1">
      <alignment horizontal="left"/>
      <protection hidden="1"/>
    </xf>
    <xf numFmtId="0" fontId="65" fillId="0" borderId="0" xfId="46" applyFont="1" applyBorder="1" applyAlignment="1" applyProtection="1">
      <alignment horizontal="left" vertical="center"/>
      <protection hidden="1"/>
    </xf>
    <xf numFmtId="0" fontId="65" fillId="0" borderId="10" xfId="46" applyFont="1" applyBorder="1" applyAlignment="1" applyProtection="1">
      <alignment horizontal="left" vertical="center"/>
      <protection hidden="1"/>
    </xf>
    <xf numFmtId="0" fontId="65" fillId="0" borderId="0" xfId="46" applyFont="1" applyBorder="1" applyAlignment="1" applyProtection="1">
      <alignment/>
      <protection hidden="1"/>
    </xf>
    <xf numFmtId="0" fontId="65" fillId="0" borderId="10" xfId="46" applyFont="1" applyBorder="1" applyAlignment="1" applyProtection="1">
      <alignment/>
      <protection hidden="1"/>
    </xf>
    <xf numFmtId="0" fontId="65" fillId="0" borderId="10" xfId="46" applyFont="1" applyBorder="1" applyAlignment="1" applyProtection="1">
      <alignment horizontal="left"/>
      <protection hidden="1"/>
    </xf>
    <xf numFmtId="1" fontId="65" fillId="0" borderId="0" xfId="46" applyNumberFormat="1" applyFont="1" applyBorder="1" applyAlignment="1" applyProtection="1">
      <alignment horizontal="left" vertical="center"/>
      <protection hidden="1"/>
    </xf>
    <xf numFmtId="1" fontId="65" fillId="0" borderId="10" xfId="46" applyNumberFormat="1" applyFont="1" applyBorder="1" applyAlignment="1" applyProtection="1">
      <alignment horizontal="left" vertical="center"/>
      <protection hidden="1"/>
    </xf>
    <xf numFmtId="0" fontId="9" fillId="0" borderId="12" xfId="46" applyFont="1" applyFill="1" applyBorder="1" applyAlignment="1" applyProtection="1">
      <alignment horizontal="left"/>
      <protection hidden="1"/>
    </xf>
    <xf numFmtId="0" fontId="214" fillId="16" borderId="11" xfId="46" applyFont="1" applyFill="1" applyBorder="1" applyAlignment="1">
      <alignment horizontal="right"/>
      <protection/>
    </xf>
    <xf numFmtId="0" fontId="214" fillId="16" borderId="0" xfId="46" applyFont="1" applyFill="1" applyAlignment="1">
      <alignment horizontal="right"/>
      <protection/>
    </xf>
    <xf numFmtId="0" fontId="59" fillId="0" borderId="77" xfId="46" applyFont="1" applyBorder="1" applyAlignment="1" applyProtection="1">
      <alignment horizontal="center" vertical="center"/>
      <protection hidden="1"/>
    </xf>
    <xf numFmtId="0" fontId="0" fillId="0" borderId="78" xfId="0" applyBorder="1" applyAlignment="1">
      <alignment/>
    </xf>
    <xf numFmtId="0" fontId="58" fillId="0" borderId="76" xfId="46" applyFont="1" applyBorder="1" applyAlignment="1">
      <alignment horizontal="center" wrapText="1"/>
      <protection/>
    </xf>
    <xf numFmtId="0" fontId="58" fillId="0" borderId="77" xfId="46" applyFont="1" applyBorder="1" applyAlignment="1">
      <alignment horizontal="center" wrapText="1"/>
      <protection/>
    </xf>
    <xf numFmtId="0" fontId="164" fillId="0" borderId="112" xfId="46" applyFont="1" applyBorder="1" applyAlignment="1" applyProtection="1">
      <alignment horizontal="center" vertical="center"/>
      <protection hidden="1"/>
    </xf>
    <xf numFmtId="0" fontId="164" fillId="0" borderId="16" xfId="46" applyFont="1" applyBorder="1" applyAlignment="1" applyProtection="1">
      <alignment horizontal="center" vertical="center"/>
      <protection hidden="1"/>
    </xf>
    <xf numFmtId="0" fontId="164" fillId="0" borderId="18" xfId="46" applyFont="1" applyBorder="1" applyAlignment="1" applyProtection="1">
      <alignment horizontal="center" vertical="center"/>
      <protection hidden="1"/>
    </xf>
    <xf numFmtId="0" fontId="67" fillId="0" borderId="0" xfId="46" applyFont="1" applyBorder="1" applyAlignment="1" applyProtection="1">
      <alignment horizontal="left"/>
      <protection hidden="1"/>
    </xf>
    <xf numFmtId="174" fontId="8" fillId="0" borderId="66" xfId="46" applyNumberFormat="1" applyFont="1" applyBorder="1" applyAlignment="1" applyProtection="1">
      <alignment horizontal="left" vertical="center" wrapText="1"/>
      <protection hidden="1"/>
    </xf>
    <xf numFmtId="174" fontId="8" fillId="0" borderId="257" xfId="46" applyNumberFormat="1" applyFont="1" applyBorder="1" applyAlignment="1" applyProtection="1">
      <alignment horizontal="left" vertical="center" wrapText="1"/>
      <protection hidden="1"/>
    </xf>
    <xf numFmtId="0" fontId="9" fillId="0" borderId="109" xfId="46" applyFont="1" applyBorder="1" applyAlignment="1" applyProtection="1">
      <alignment horizontal="center" vertical="center"/>
      <protection hidden="1"/>
    </xf>
    <xf numFmtId="0" fontId="9" fillId="0" borderId="309" xfId="46" applyFont="1" applyBorder="1" applyAlignment="1" applyProtection="1">
      <alignment horizontal="center" vertical="center"/>
      <protection hidden="1"/>
    </xf>
    <xf numFmtId="0" fontId="7" fillId="0" borderId="111" xfId="46" applyFont="1" applyBorder="1" applyAlignment="1" applyProtection="1">
      <alignment horizontal="left" vertical="center"/>
      <protection hidden="1"/>
    </xf>
    <xf numFmtId="0" fontId="7" fillId="0" borderId="66" xfId="46" applyFont="1" applyBorder="1" applyAlignment="1" applyProtection="1">
      <alignment horizontal="left" vertical="center"/>
      <protection hidden="1"/>
    </xf>
    <xf numFmtId="0" fontId="8" fillId="0" borderId="109" xfId="46" applyFont="1" applyBorder="1" applyAlignment="1" applyProtection="1">
      <alignment horizontal="center" vertical="center"/>
      <protection hidden="1"/>
    </xf>
    <xf numFmtId="0" fontId="8" fillId="0" borderId="110" xfId="46" applyFont="1" applyBorder="1" applyAlignment="1" applyProtection="1">
      <alignment horizontal="center" vertical="center"/>
      <protection hidden="1"/>
    </xf>
    <xf numFmtId="174" fontId="8" fillId="0" borderId="66" xfId="46" applyNumberFormat="1" applyFont="1" applyBorder="1" applyAlignment="1" applyProtection="1">
      <alignment horizontal="left" vertical="center"/>
      <protection hidden="1"/>
    </xf>
    <xf numFmtId="174" fontId="9" fillId="0" borderId="16" xfId="46" applyNumberFormat="1" applyFont="1" applyBorder="1" applyAlignment="1" applyProtection="1">
      <alignment horizontal="left" vertical="center" wrapText="1"/>
      <protection hidden="1"/>
    </xf>
    <xf numFmtId="0" fontId="8" fillId="0" borderId="60" xfId="46" applyFont="1" applyBorder="1" applyAlignment="1" applyProtection="1">
      <alignment horizontal="center" vertical="center" wrapText="1"/>
      <protection hidden="1"/>
    </xf>
    <xf numFmtId="0" fontId="8" fillId="0" borderId="63" xfId="46" applyFont="1" applyBorder="1" applyAlignment="1" applyProtection="1">
      <alignment horizontal="center" vertical="center" wrapText="1"/>
      <protection hidden="1"/>
    </xf>
    <xf numFmtId="0" fontId="8" fillId="0" borderId="12" xfId="46" applyFont="1" applyBorder="1" applyAlignment="1" applyProtection="1">
      <alignment horizontal="center" vertical="center" wrapText="1"/>
      <protection hidden="1"/>
    </xf>
    <xf numFmtId="0" fontId="8" fillId="0" borderId="10" xfId="46" applyFont="1" applyBorder="1" applyAlignment="1" applyProtection="1">
      <alignment horizontal="center" vertical="center" wrapText="1"/>
      <protection hidden="1"/>
    </xf>
    <xf numFmtId="0" fontId="8" fillId="0" borderId="17" xfId="46" applyFont="1" applyBorder="1" applyAlignment="1" applyProtection="1">
      <alignment horizontal="center" vertical="center" wrapText="1"/>
      <protection hidden="1"/>
    </xf>
    <xf numFmtId="0" fontId="8" fillId="0" borderId="64" xfId="46" applyFont="1" applyBorder="1" applyAlignment="1" applyProtection="1">
      <alignment horizontal="center" vertical="center" wrapText="1"/>
      <protection hidden="1"/>
    </xf>
    <xf numFmtId="0" fontId="9" fillId="0" borderId="23" xfId="46" applyNumberFormat="1" applyFont="1" applyBorder="1" applyAlignment="1" applyProtection="1">
      <alignment horizontal="center" vertical="center"/>
      <protection hidden="1"/>
    </xf>
    <xf numFmtId="0" fontId="9" fillId="0" borderId="29" xfId="46" applyNumberFormat="1" applyFont="1" applyBorder="1" applyAlignment="1" applyProtection="1">
      <alignment horizontal="center" vertical="center"/>
      <protection hidden="1"/>
    </xf>
    <xf numFmtId="0" fontId="8" fillId="0" borderId="16" xfId="46" applyFont="1" applyBorder="1" applyAlignment="1" applyProtection="1">
      <alignment horizontal="left" vertical="center"/>
      <protection hidden="1"/>
    </xf>
    <xf numFmtId="0" fontId="8" fillId="0" borderId="18" xfId="46" applyFont="1" applyBorder="1" applyAlignment="1" applyProtection="1">
      <alignment horizontal="left" vertical="center"/>
      <protection hidden="1"/>
    </xf>
    <xf numFmtId="0" fontId="9" fillId="0" borderId="109" xfId="46" applyFont="1" applyBorder="1" applyAlignment="1" applyProtection="1">
      <alignment horizontal="left" vertical="center"/>
      <protection hidden="1"/>
    </xf>
    <xf numFmtId="0" fontId="9" fillId="0" borderId="309" xfId="46" applyFont="1" applyBorder="1" applyAlignment="1" applyProtection="1">
      <alignment horizontal="left" vertical="center"/>
      <protection hidden="1"/>
    </xf>
    <xf numFmtId="0" fontId="65" fillId="0" borderId="0" xfId="46" applyFont="1" applyFill="1" applyBorder="1" applyAlignment="1" applyProtection="1">
      <alignment horizontal="left"/>
      <protection hidden="1"/>
    </xf>
    <xf numFmtId="0" fontId="7" fillId="0" borderId="77" xfId="46" applyFont="1" applyBorder="1" applyAlignment="1" applyProtection="1">
      <alignment horizontal="center" vertical="center"/>
      <protection hidden="1"/>
    </xf>
    <xf numFmtId="0" fontId="10" fillId="0" borderId="112" xfId="46" applyFont="1" applyBorder="1" applyAlignment="1" applyProtection="1">
      <alignment horizontal="left" vertical="center"/>
      <protection hidden="1"/>
    </xf>
    <xf numFmtId="0" fontId="10" fillId="0" borderId="16" xfId="46" applyFont="1" applyBorder="1" applyAlignment="1" applyProtection="1">
      <alignment horizontal="left" vertical="center"/>
      <protection hidden="1"/>
    </xf>
    <xf numFmtId="3" fontId="14" fillId="0" borderId="310" xfId="46" applyNumberFormat="1" applyFont="1" applyBorder="1" applyAlignment="1" applyProtection="1">
      <alignment horizontal="center" vertical="center" wrapText="1"/>
      <protection hidden="1"/>
    </xf>
    <xf numFmtId="3" fontId="20" fillId="0" borderId="311" xfId="46" applyNumberFormat="1" applyFont="1" applyBorder="1" applyAlignment="1" applyProtection="1">
      <alignment horizontal="center" vertical="center"/>
      <protection hidden="1"/>
    </xf>
    <xf numFmtId="174" fontId="3" fillId="0" borderId="119" xfId="46" applyNumberFormat="1" applyFont="1" applyBorder="1" applyAlignment="1" applyProtection="1">
      <alignment horizontal="center" vertical="center"/>
      <protection hidden="1"/>
    </xf>
    <xf numFmtId="3" fontId="66" fillId="0" borderId="0" xfId="46" applyNumberFormat="1" applyFont="1" applyBorder="1" applyAlignment="1" applyProtection="1">
      <alignment vertical="center"/>
      <protection hidden="1"/>
    </xf>
    <xf numFmtId="3" fontId="29" fillId="0" borderId="0" xfId="46" applyNumberFormat="1" applyFont="1" applyBorder="1" applyAlignment="1" applyProtection="1">
      <alignment vertical="center"/>
      <protection hidden="1"/>
    </xf>
    <xf numFmtId="0" fontId="6" fillId="0" borderId="12" xfId="46" applyFont="1" applyBorder="1" applyAlignment="1" applyProtection="1">
      <alignment vertical="center"/>
      <protection hidden="1"/>
    </xf>
    <xf numFmtId="0" fontId="14" fillId="0" borderId="12" xfId="46" applyFont="1" applyBorder="1" applyAlignment="1" applyProtection="1">
      <alignment vertical="center"/>
      <protection hidden="1"/>
    </xf>
    <xf numFmtId="0" fontId="20" fillId="0" borderId="81" xfId="46" applyFont="1" applyBorder="1" applyAlignment="1" applyProtection="1">
      <alignment horizontal="center"/>
      <protection hidden="1"/>
    </xf>
    <xf numFmtId="0" fontId="19" fillId="0" borderId="22" xfId="46" applyFont="1" applyBorder="1" applyAlignment="1" applyProtection="1">
      <alignment horizontal="center" vertical="center"/>
      <protection hidden="1"/>
    </xf>
    <xf numFmtId="0" fontId="19" fillId="0" borderId="100" xfId="46" applyFont="1" applyBorder="1" applyAlignment="1" applyProtection="1">
      <alignment horizontal="center" vertical="center"/>
      <protection hidden="1"/>
    </xf>
    <xf numFmtId="0" fontId="19" fillId="0" borderId="312" xfId="46" applyFont="1" applyBorder="1" applyAlignment="1" applyProtection="1">
      <alignment horizontal="center" vertical="center"/>
      <protection hidden="1"/>
    </xf>
    <xf numFmtId="0" fontId="19" fillId="0" borderId="69" xfId="46" applyFont="1" applyBorder="1" applyAlignment="1" applyProtection="1">
      <alignment horizontal="center" vertical="center"/>
      <protection hidden="1"/>
    </xf>
    <xf numFmtId="0" fontId="19" fillId="0" borderId="10" xfId="46" applyFont="1" applyBorder="1" applyAlignment="1" applyProtection="1">
      <alignment horizontal="center" vertical="center"/>
      <protection hidden="1"/>
    </xf>
    <xf numFmtId="3" fontId="66" fillId="0" borderId="0" xfId="46" applyNumberFormat="1" applyFont="1" applyBorder="1" applyAlignment="1" applyProtection="1">
      <alignment horizontal="left" vertical="center" wrapText="1"/>
      <protection hidden="1"/>
    </xf>
    <xf numFmtId="3" fontId="66" fillId="0" borderId="70" xfId="46" applyNumberFormat="1" applyFont="1" applyBorder="1" applyAlignment="1" applyProtection="1">
      <alignment horizontal="left" vertical="center" wrapText="1"/>
      <protection hidden="1"/>
    </xf>
    <xf numFmtId="0" fontId="69" fillId="0" borderId="0" xfId="46" applyFont="1" applyBorder="1" applyAlignment="1" applyProtection="1">
      <alignment vertical="center"/>
      <protection hidden="1"/>
    </xf>
    <xf numFmtId="0" fontId="20" fillId="0" borderId="12" xfId="46" applyFont="1" applyBorder="1" applyAlignment="1" applyProtection="1">
      <alignment vertical="center"/>
      <protection hidden="1"/>
    </xf>
    <xf numFmtId="0" fontId="20" fillId="0" borderId="0" xfId="46" applyFont="1" applyBorder="1" applyAlignment="1" applyProtection="1">
      <alignment vertical="center"/>
      <protection hidden="1"/>
    </xf>
    <xf numFmtId="0" fontId="14" fillId="0" borderId="81" xfId="46" applyFont="1" applyBorder="1" applyAlignment="1" applyProtection="1">
      <alignment vertical="center"/>
      <protection hidden="1"/>
    </xf>
    <xf numFmtId="0" fontId="26" fillId="0" borderId="313" xfId="46" applyFont="1" applyBorder="1" applyAlignment="1" applyProtection="1">
      <alignment horizontal="center" vertical="center"/>
      <protection hidden="1"/>
    </xf>
    <xf numFmtId="0" fontId="68" fillId="0" borderId="0" xfId="46" applyFont="1" applyBorder="1" applyAlignment="1" applyProtection="1">
      <alignment vertical="center"/>
      <protection hidden="1"/>
    </xf>
    <xf numFmtId="0" fontId="22" fillId="0" borderId="314" xfId="46" applyFont="1" applyBorder="1" applyAlignment="1" applyProtection="1">
      <alignment horizontal="center" vertical="center"/>
      <protection hidden="1"/>
    </xf>
    <xf numFmtId="17" fontId="3" fillId="0" borderId="190" xfId="46" applyNumberFormat="1" applyFont="1" applyBorder="1" applyAlignment="1" applyProtection="1">
      <alignment horizontal="center" vertical="center"/>
      <protection hidden="1"/>
    </xf>
    <xf numFmtId="17" fontId="3" fillId="0" borderId="315" xfId="46" applyNumberFormat="1" applyFont="1" applyBorder="1" applyAlignment="1" applyProtection="1">
      <alignment horizontal="center" vertical="center"/>
      <protection hidden="1"/>
    </xf>
    <xf numFmtId="0" fontId="3" fillId="0" borderId="316" xfId="46" applyFont="1" applyBorder="1" applyAlignment="1" applyProtection="1">
      <alignment horizontal="center" vertical="center"/>
      <protection hidden="1"/>
    </xf>
    <xf numFmtId="0" fontId="22" fillId="0" borderId="317" xfId="46" applyFont="1" applyBorder="1" applyAlignment="1" applyProtection="1">
      <alignment horizontal="center" vertical="center"/>
      <protection hidden="1"/>
    </xf>
    <xf numFmtId="0" fontId="25" fillId="0" borderId="113" xfId="46" applyFont="1" applyBorder="1" applyAlignment="1" applyProtection="1">
      <alignment horizontal="center" vertical="center"/>
      <protection hidden="1"/>
    </xf>
    <xf numFmtId="0" fontId="22" fillId="0" borderId="27" xfId="46" applyFont="1" applyBorder="1" applyAlignment="1" applyProtection="1">
      <alignment horizontal="center" vertical="center"/>
      <protection hidden="1"/>
    </xf>
    <xf numFmtId="0" fontId="22" fillId="0" borderId="318" xfId="46" applyFont="1" applyBorder="1" applyAlignment="1" applyProtection="1">
      <alignment horizontal="center" vertical="center"/>
      <protection hidden="1"/>
    </xf>
    <xf numFmtId="0" fontId="22" fillId="0" borderId="319" xfId="46" applyFont="1" applyBorder="1" applyAlignment="1" applyProtection="1">
      <alignment horizontal="center" vertical="center"/>
      <protection hidden="1"/>
    </xf>
    <xf numFmtId="0" fontId="22" fillId="0" borderId="191" xfId="46" applyFont="1" applyBorder="1" applyAlignment="1" applyProtection="1">
      <alignment horizontal="center" vertical="center"/>
      <protection hidden="1"/>
    </xf>
    <xf numFmtId="0" fontId="22" fillId="0" borderId="320" xfId="46" applyFont="1" applyBorder="1" applyAlignment="1" applyProtection="1">
      <alignment horizontal="center" vertical="center"/>
      <protection hidden="1"/>
    </xf>
    <xf numFmtId="0" fontId="22" fillId="0" borderId="321" xfId="46" applyFont="1" applyBorder="1" applyAlignment="1" applyProtection="1">
      <alignment horizontal="center" vertical="center"/>
      <protection hidden="1"/>
    </xf>
    <xf numFmtId="1" fontId="23" fillId="0" borderId="322" xfId="46" applyNumberFormat="1" applyFont="1" applyBorder="1" applyAlignment="1" applyProtection="1">
      <alignment horizontal="center" vertical="center"/>
      <protection hidden="1"/>
    </xf>
    <xf numFmtId="1" fontId="23" fillId="0" borderId="111" xfId="46" applyNumberFormat="1" applyFont="1" applyBorder="1" applyAlignment="1" applyProtection="1">
      <alignment horizontal="center" vertical="center"/>
      <protection hidden="1"/>
    </xf>
    <xf numFmtId="1" fontId="23" fillId="0" borderId="323" xfId="46" applyNumberFormat="1" applyFont="1" applyBorder="1" applyAlignment="1" applyProtection="1">
      <alignment horizontal="center" vertical="center"/>
      <protection hidden="1"/>
    </xf>
    <xf numFmtId="1" fontId="23" fillId="0" borderId="53" xfId="46" applyNumberFormat="1" applyFont="1" applyBorder="1" applyAlignment="1" applyProtection="1">
      <alignment horizontal="center" vertical="center"/>
      <protection hidden="1"/>
    </xf>
    <xf numFmtId="0" fontId="22" fillId="0" borderId="82" xfId="46" applyFont="1" applyBorder="1" applyAlignment="1" applyProtection="1">
      <alignment horizontal="center" vertical="center"/>
      <protection hidden="1"/>
    </xf>
    <xf numFmtId="0" fontId="22" fillId="0" borderId="61" xfId="46" applyFont="1" applyBorder="1" applyAlignment="1" applyProtection="1">
      <alignment horizontal="center" vertical="center"/>
      <protection hidden="1"/>
    </xf>
    <xf numFmtId="1" fontId="23" fillId="0" borderId="82" xfId="46" applyNumberFormat="1" applyFont="1" applyBorder="1" applyAlignment="1" applyProtection="1">
      <alignment horizontal="center" vertical="center"/>
      <protection hidden="1"/>
    </xf>
    <xf numFmtId="1" fontId="23" fillId="0" borderId="61" xfId="46" applyNumberFormat="1" applyFont="1" applyBorder="1" applyAlignment="1" applyProtection="1">
      <alignment horizontal="center" vertical="center"/>
      <protection hidden="1"/>
    </xf>
    <xf numFmtId="0" fontId="22" fillId="0" borderId="32" xfId="46" applyFont="1" applyBorder="1" applyAlignment="1" applyProtection="1">
      <alignment horizontal="center" vertical="center"/>
      <protection hidden="1"/>
    </xf>
    <xf numFmtId="0" fontId="22" fillId="0" borderId="62" xfId="46" applyFont="1" applyBorder="1" applyAlignment="1" applyProtection="1">
      <alignment horizontal="center" vertical="center"/>
      <protection hidden="1"/>
    </xf>
    <xf numFmtId="0" fontId="24" fillId="38" borderId="313" xfId="46" applyFont="1" applyFill="1" applyBorder="1" applyAlignment="1" applyProtection="1">
      <alignment horizontal="center" vertical="center"/>
      <protection hidden="1"/>
    </xf>
    <xf numFmtId="1" fontId="23" fillId="0" borderId="32" xfId="46" applyNumberFormat="1" applyFont="1" applyBorder="1" applyAlignment="1" applyProtection="1">
      <alignment horizontal="center" vertical="center"/>
      <protection hidden="1"/>
    </xf>
    <xf numFmtId="1" fontId="23" fillId="0" borderId="62" xfId="46" applyNumberFormat="1" applyFont="1" applyBorder="1" applyAlignment="1" applyProtection="1">
      <alignment horizontal="center" vertical="center"/>
      <protection hidden="1"/>
    </xf>
    <xf numFmtId="174" fontId="21" fillId="0" borderId="308" xfId="46" applyNumberFormat="1" applyFont="1" applyBorder="1" applyAlignment="1" applyProtection="1">
      <alignment horizontal="center"/>
      <protection hidden="1"/>
    </xf>
    <xf numFmtId="174" fontId="21" fillId="0" borderId="11" xfId="46" applyNumberFormat="1" applyFont="1" applyBorder="1" applyAlignment="1" applyProtection="1">
      <alignment horizontal="center"/>
      <protection hidden="1"/>
    </xf>
    <xf numFmtId="0" fontId="22" fillId="0" borderId="113" xfId="46" applyFont="1" applyBorder="1" applyAlignment="1" applyProtection="1">
      <alignment horizontal="center" vertical="center"/>
      <protection hidden="1"/>
    </xf>
    <xf numFmtId="0" fontId="22" fillId="0" borderId="324" xfId="46" applyFont="1" applyBorder="1" applyAlignment="1" applyProtection="1">
      <alignment horizontal="center" vertical="center"/>
      <protection hidden="1"/>
    </xf>
    <xf numFmtId="0" fontId="22" fillId="0" borderId="323" xfId="46" applyFont="1" applyBorder="1" applyAlignment="1" applyProtection="1">
      <alignment horizontal="center" vertical="center"/>
      <protection hidden="1"/>
    </xf>
    <xf numFmtId="0" fontId="22" fillId="0" borderId="53" xfId="46" applyFont="1" applyBorder="1" applyAlignment="1" applyProtection="1">
      <alignment horizontal="center" vertical="center"/>
      <protection hidden="1"/>
    </xf>
    <xf numFmtId="0" fontId="16" fillId="0" borderId="59" xfId="46" applyFont="1" applyBorder="1" applyAlignment="1" applyProtection="1">
      <alignment horizontal="center" vertical="center" wrapText="1"/>
      <protection hidden="1"/>
    </xf>
    <xf numFmtId="0" fontId="5" fillId="0" borderId="306" xfId="46" applyFont="1" applyBorder="1" applyAlignment="1" applyProtection="1">
      <alignment horizontal="center" vertical="center" wrapText="1"/>
      <protection hidden="1"/>
    </xf>
    <xf numFmtId="0" fontId="3" fillId="38" borderId="325" xfId="46" applyFont="1" applyFill="1" applyBorder="1" applyAlignment="1" applyProtection="1">
      <alignment horizontal="center"/>
      <protection hidden="1"/>
    </xf>
    <xf numFmtId="0" fontId="19" fillId="0" borderId="324" xfId="46" applyFont="1" applyBorder="1" applyAlignment="1" applyProtection="1">
      <alignment horizontal="center" vertical="center"/>
      <protection hidden="1"/>
    </xf>
    <xf numFmtId="0" fontId="20" fillId="0" borderId="326" xfId="46" applyFont="1" applyBorder="1" applyAlignment="1" applyProtection="1">
      <alignment horizontal="center" vertical="center"/>
      <protection hidden="1"/>
    </xf>
    <xf numFmtId="0" fontId="5" fillId="0" borderId="11" xfId="46" applyFont="1" applyBorder="1" applyAlignment="1" applyProtection="1">
      <alignment horizontal="left"/>
      <protection hidden="1"/>
    </xf>
    <xf numFmtId="178" fontId="23" fillId="0" borderId="0" xfId="46" applyNumberFormat="1" applyFont="1" applyBorder="1" applyAlignment="1" applyProtection="1">
      <alignment horizontal="left"/>
      <protection hidden="1" locked="0"/>
    </xf>
    <xf numFmtId="0" fontId="62" fillId="0" borderId="12" xfId="46" applyFont="1" applyFill="1" applyBorder="1" applyAlignment="1" applyProtection="1">
      <alignment horizontal="left"/>
      <protection hidden="1"/>
    </xf>
    <xf numFmtId="0" fontId="62" fillId="0" borderId="0" xfId="46" applyFont="1" applyFill="1" applyBorder="1" applyAlignment="1" applyProtection="1">
      <alignment horizontal="left"/>
      <protection hidden="1"/>
    </xf>
    <xf numFmtId="0" fontId="28" fillId="0" borderId="53" xfId="46" applyFont="1" applyBorder="1" applyAlignment="1" applyProtection="1">
      <alignment horizontal="center"/>
      <protection hidden="1" locked="0"/>
    </xf>
    <xf numFmtId="0" fontId="28" fillId="0" borderId="326" xfId="46" applyFont="1" applyBorder="1" applyAlignment="1" applyProtection="1">
      <alignment horizontal="center"/>
      <protection hidden="1" locked="0"/>
    </xf>
    <xf numFmtId="0" fontId="23" fillId="0" borderId="11" xfId="46" applyFont="1" applyBorder="1" applyAlignment="1" applyProtection="1">
      <alignment horizontal="left" vertical="top" wrapText="1"/>
      <protection hidden="1"/>
    </xf>
    <xf numFmtId="0" fontId="23" fillId="0" borderId="0" xfId="46" applyFont="1" applyBorder="1" applyAlignment="1" applyProtection="1">
      <alignment horizontal="left" vertical="top" wrapText="1"/>
      <protection hidden="1"/>
    </xf>
    <xf numFmtId="0" fontId="23" fillId="0" borderId="14" xfId="46" applyFont="1" applyBorder="1" applyAlignment="1" applyProtection="1">
      <alignment horizontal="left" vertical="top" wrapText="1"/>
      <protection hidden="1"/>
    </xf>
    <xf numFmtId="0" fontId="28" fillId="0" borderId="60" xfId="46" applyFont="1" applyBorder="1" applyAlignment="1" applyProtection="1">
      <alignment horizontal="center"/>
      <protection hidden="1"/>
    </xf>
    <xf numFmtId="0" fontId="28" fillId="0" borderId="63" xfId="46" applyFont="1" applyBorder="1" applyAlignment="1" applyProtection="1">
      <alignment horizontal="center"/>
      <protection hidden="1"/>
    </xf>
    <xf numFmtId="0" fontId="28" fillId="0" borderId="82" xfId="46" applyFont="1" applyBorder="1" applyAlignment="1" applyProtection="1">
      <alignment horizontal="center"/>
      <protection hidden="1" locked="0"/>
    </xf>
    <xf numFmtId="0" fontId="28" fillId="0" borderId="83" xfId="46" applyFont="1" applyBorder="1" applyAlignment="1" applyProtection="1">
      <alignment horizontal="center"/>
      <protection hidden="1" locked="0"/>
    </xf>
    <xf numFmtId="0" fontId="28" fillId="0" borderId="12" xfId="46" applyFont="1" applyBorder="1" applyAlignment="1" applyProtection="1">
      <alignment horizontal="center"/>
      <protection hidden="1"/>
    </xf>
    <xf numFmtId="0" fontId="28" fillId="0" borderId="10" xfId="46" applyFont="1" applyBorder="1" applyAlignment="1" applyProtection="1">
      <alignment horizontal="center"/>
      <protection hidden="1"/>
    </xf>
    <xf numFmtId="0" fontId="28" fillId="0" borderId="17" xfId="46" applyFont="1" applyBorder="1" applyAlignment="1" applyProtection="1">
      <alignment horizontal="center"/>
      <protection hidden="1"/>
    </xf>
    <xf numFmtId="0" fontId="28" fillId="0" borderId="64" xfId="46" applyFont="1" applyBorder="1" applyAlignment="1" applyProtection="1">
      <alignment horizontal="center"/>
      <protection hidden="1"/>
    </xf>
    <xf numFmtId="0" fontId="28" fillId="0" borderId="16" xfId="46" applyFont="1" applyBorder="1" applyAlignment="1" applyProtection="1">
      <alignment horizontal="center"/>
      <protection hidden="1"/>
    </xf>
    <xf numFmtId="0" fontId="28" fillId="0" borderId="18" xfId="46" applyFont="1" applyBorder="1" applyAlignment="1" applyProtection="1">
      <alignment horizontal="center"/>
      <protection hidden="1"/>
    </xf>
    <xf numFmtId="0" fontId="66" fillId="0" borderId="12" xfId="46" applyFont="1" applyBorder="1" applyAlignment="1" applyProtection="1">
      <alignment horizontal="center"/>
      <protection hidden="1"/>
    </xf>
    <xf numFmtId="0" fontId="66" fillId="0" borderId="12" xfId="46" applyFont="1" applyBorder="1" applyAlignment="1" applyProtection="1">
      <alignment horizontal="center" vertical="center"/>
      <protection hidden="1"/>
    </xf>
    <xf numFmtId="0" fontId="66" fillId="0" borderId="0" xfId="46" applyFont="1" applyBorder="1" applyAlignment="1" applyProtection="1">
      <alignment horizontal="center" vertical="center"/>
      <protection hidden="1"/>
    </xf>
    <xf numFmtId="0" fontId="39" fillId="0" borderId="0" xfId="46" applyFont="1" applyBorder="1" applyAlignment="1" applyProtection="1">
      <alignment horizontal="left" vertical="center"/>
      <protection hidden="1"/>
    </xf>
    <xf numFmtId="0" fontId="5" fillId="0" borderId="0" xfId="46" applyFont="1" applyBorder="1" applyAlignment="1" applyProtection="1">
      <alignment horizontal="left"/>
      <protection hidden="1"/>
    </xf>
    <xf numFmtId="0" fontId="19" fillId="0" borderId="0" xfId="46" applyFont="1" applyBorder="1" applyAlignment="1" applyProtection="1">
      <alignment horizontal="left"/>
      <protection hidden="1"/>
    </xf>
    <xf numFmtId="0" fontId="14" fillId="0" borderId="33" xfId="46" applyFont="1" applyBorder="1" applyAlignment="1" applyProtection="1">
      <alignment horizontal="center" vertical="center"/>
      <protection hidden="1"/>
    </xf>
    <xf numFmtId="0" fontId="25" fillId="0" borderId="306" xfId="46" applyFont="1" applyBorder="1" applyAlignment="1" applyProtection="1">
      <alignment horizontal="center"/>
      <protection hidden="1"/>
    </xf>
    <xf numFmtId="0" fontId="28" fillId="0" borderId="66" xfId="46" applyFont="1" applyBorder="1" applyAlignment="1" applyProtection="1">
      <alignment horizontal="center"/>
      <protection hidden="1"/>
    </xf>
    <xf numFmtId="0" fontId="28" fillId="0" borderId="257" xfId="46" applyFont="1" applyBorder="1" applyAlignment="1" applyProtection="1">
      <alignment horizontal="center"/>
      <protection hidden="1"/>
    </xf>
    <xf numFmtId="0" fontId="28" fillId="0" borderId="0" xfId="46" applyFont="1" applyBorder="1" applyAlignment="1" applyProtection="1">
      <alignment horizontal="center"/>
      <protection hidden="1"/>
    </xf>
    <xf numFmtId="0" fontId="28" fillId="0" borderId="14" xfId="46" applyFont="1" applyBorder="1" applyAlignment="1" applyProtection="1">
      <alignment horizontal="center"/>
      <protection hidden="1"/>
    </xf>
    <xf numFmtId="0" fontId="3" fillId="0" borderId="12" xfId="46" applyFont="1" applyBorder="1" applyAlignment="1" applyProtection="1">
      <alignment horizontal="left" vertical="center"/>
      <protection hidden="1"/>
    </xf>
    <xf numFmtId="0" fontId="3" fillId="0" borderId="0" xfId="46" applyFont="1" applyBorder="1" applyAlignment="1" applyProtection="1">
      <alignment horizontal="left" vertical="center"/>
      <protection hidden="1"/>
    </xf>
    <xf numFmtId="0" fontId="5" fillId="0" borderId="16" xfId="46" applyFont="1" applyBorder="1" applyAlignment="1" applyProtection="1">
      <alignment horizontal="left" vertical="center"/>
      <protection hidden="1"/>
    </xf>
    <xf numFmtId="0" fontId="5" fillId="0" borderId="306" xfId="46" applyFont="1" applyBorder="1" applyAlignment="1" applyProtection="1">
      <alignment horizontal="center"/>
      <protection hidden="1"/>
    </xf>
    <xf numFmtId="0" fontId="5" fillId="0" borderId="12" xfId="46" applyFont="1" applyBorder="1" applyAlignment="1" applyProtection="1">
      <alignment horizontal="left" vertical="center"/>
      <protection hidden="1"/>
    </xf>
    <xf numFmtId="0" fontId="5" fillId="0" borderId="0" xfId="46" applyFont="1" applyBorder="1" applyAlignment="1" applyProtection="1">
      <alignment horizontal="left" vertical="center"/>
      <protection hidden="1"/>
    </xf>
    <xf numFmtId="0" fontId="5" fillId="0" borderId="12" xfId="46" applyFont="1" applyBorder="1" applyAlignment="1" applyProtection="1">
      <alignment horizontal="left"/>
      <protection hidden="1"/>
    </xf>
    <xf numFmtId="0" fontId="3" fillId="0" borderId="77" xfId="46" applyFont="1" applyBorder="1" applyAlignment="1" applyProtection="1">
      <alignment horizontal="left"/>
      <protection hidden="1"/>
    </xf>
    <xf numFmtId="0" fontId="14" fillId="0" borderId="0" xfId="46" applyFont="1" applyBorder="1" applyAlignment="1" applyProtection="1">
      <alignment horizontal="left" vertical="top"/>
      <protection hidden="1"/>
    </xf>
    <xf numFmtId="0" fontId="70" fillId="0" borderId="0" xfId="46" applyFont="1" applyBorder="1" applyAlignment="1" applyProtection="1">
      <alignment horizontal="left"/>
      <protection hidden="1"/>
    </xf>
    <xf numFmtId="0" fontId="39" fillId="0" borderId="0" xfId="46" applyFont="1" applyBorder="1" applyAlignment="1" applyProtection="1">
      <alignment horizontal="left"/>
      <protection hidden="1"/>
    </xf>
    <xf numFmtId="0" fontId="120" fillId="56" borderId="0" xfId="0" applyFont="1" applyFill="1" applyBorder="1" applyAlignment="1" applyProtection="1">
      <alignment horizontal="center" vertical="center" wrapText="1"/>
      <protection hidden="1"/>
    </xf>
    <xf numFmtId="0" fontId="120" fillId="56" borderId="215" xfId="0" applyFont="1" applyFill="1" applyBorder="1" applyAlignment="1" applyProtection="1">
      <alignment horizontal="center" vertical="center" wrapText="1"/>
      <protection hidden="1"/>
    </xf>
    <xf numFmtId="0" fontId="3" fillId="56" borderId="327" xfId="0" applyFont="1" applyFill="1" applyBorder="1" applyAlignment="1" applyProtection="1">
      <alignment horizontal="center" vertical="center"/>
      <protection hidden="1"/>
    </xf>
    <xf numFmtId="0" fontId="3" fillId="56" borderId="75" xfId="0" applyFont="1" applyFill="1" applyBorder="1" applyAlignment="1" applyProtection="1">
      <alignment horizontal="center" vertical="center"/>
      <protection hidden="1"/>
    </xf>
    <xf numFmtId="0" fontId="117" fillId="7" borderId="75" xfId="0" applyFont="1" applyFill="1" applyBorder="1" applyAlignment="1" applyProtection="1">
      <alignment horizontal="center" vertical="center"/>
      <protection hidden="1" locked="0"/>
    </xf>
    <xf numFmtId="0" fontId="23" fillId="56" borderId="75" xfId="0" applyFont="1" applyFill="1" applyBorder="1" applyAlignment="1" applyProtection="1">
      <alignment horizontal="center" vertical="center"/>
      <protection hidden="1"/>
    </xf>
    <xf numFmtId="0" fontId="120" fillId="56" borderId="328" xfId="0" applyFont="1" applyFill="1" applyBorder="1" applyAlignment="1" applyProtection="1">
      <alignment horizontal="center" vertical="center" wrapText="1"/>
      <protection hidden="1"/>
    </xf>
    <xf numFmtId="0" fontId="120" fillId="56" borderId="329" xfId="0" applyFont="1" applyFill="1" applyBorder="1" applyAlignment="1" applyProtection="1">
      <alignment horizontal="center" vertical="center" wrapText="1"/>
      <protection hidden="1"/>
    </xf>
    <xf numFmtId="175" fontId="120" fillId="7" borderId="329" xfId="0" applyNumberFormat="1" applyFont="1" applyFill="1" applyBorder="1" applyAlignment="1" applyProtection="1">
      <alignment horizontal="center" vertical="center" wrapText="1"/>
      <protection hidden="1" locked="0"/>
    </xf>
    <xf numFmtId="15" fontId="120" fillId="7" borderId="329" xfId="0" applyNumberFormat="1" applyFont="1" applyFill="1" applyBorder="1" applyAlignment="1" applyProtection="1">
      <alignment horizontal="center" vertical="center"/>
      <protection hidden="1" locked="0"/>
    </xf>
    <xf numFmtId="0" fontId="165" fillId="7" borderId="330" xfId="0" applyFont="1" applyFill="1" applyBorder="1" applyAlignment="1" applyProtection="1">
      <alignment horizontal="center" vertical="center"/>
      <protection hidden="1" locked="0"/>
    </xf>
    <xf numFmtId="0" fontId="165" fillId="7" borderId="331" xfId="0" applyFont="1" applyFill="1" applyBorder="1" applyAlignment="1" applyProtection="1">
      <alignment horizontal="center" vertical="center"/>
      <protection hidden="1" locked="0"/>
    </xf>
    <xf numFmtId="0" fontId="165" fillId="7" borderId="332" xfId="0" applyFont="1" applyFill="1" applyBorder="1" applyAlignment="1" applyProtection="1">
      <alignment horizontal="center" vertical="center"/>
      <protection hidden="1" locked="0"/>
    </xf>
    <xf numFmtId="0" fontId="118" fillId="45" borderId="333" xfId="0" applyFont="1" applyFill="1" applyBorder="1" applyAlignment="1" applyProtection="1">
      <alignment horizontal="center" wrapText="1"/>
      <protection hidden="1"/>
    </xf>
    <xf numFmtId="0" fontId="118" fillId="45" borderId="334" xfId="0" applyFont="1" applyFill="1" applyBorder="1" applyAlignment="1" applyProtection="1">
      <alignment horizontal="center" wrapText="1"/>
      <protection hidden="1"/>
    </xf>
    <xf numFmtId="0" fontId="118" fillId="45" borderId="335" xfId="0" applyFont="1" applyFill="1" applyBorder="1" applyAlignment="1" applyProtection="1">
      <alignment horizontal="center" wrapText="1"/>
      <protection hidden="1"/>
    </xf>
    <xf numFmtId="0" fontId="0" fillId="0" borderId="336" xfId="0" applyBorder="1" applyAlignment="1" applyProtection="1">
      <alignment horizontal="left" vertical="top"/>
      <protection hidden="1"/>
    </xf>
    <xf numFmtId="0" fontId="0" fillId="0" borderId="337" xfId="0" applyBorder="1" applyAlignment="1" applyProtection="1">
      <alignment horizontal="left" vertical="top"/>
      <protection hidden="1"/>
    </xf>
    <xf numFmtId="0" fontId="0" fillId="0" borderId="216" xfId="0" applyBorder="1" applyAlignment="1" applyProtection="1">
      <alignment horizontal="left" vertical="top"/>
      <protection hidden="1"/>
    </xf>
    <xf numFmtId="0" fontId="120" fillId="56" borderId="338" xfId="0" applyFont="1" applyFill="1" applyBorder="1" applyAlignment="1" applyProtection="1">
      <alignment horizontal="center" vertical="center" wrapText="1"/>
      <protection hidden="1"/>
    </xf>
    <xf numFmtId="0" fontId="120" fillId="56" borderId="80" xfId="0" applyFont="1" applyFill="1" applyBorder="1" applyAlignment="1" applyProtection="1">
      <alignment horizontal="center" vertical="center" wrapText="1"/>
      <protection hidden="1"/>
    </xf>
    <xf numFmtId="0" fontId="120" fillId="39" borderId="80" xfId="0" applyFont="1" applyFill="1" applyBorder="1" applyAlignment="1" applyProtection="1">
      <alignment horizontal="center" vertical="center" wrapText="1"/>
      <protection hidden="1" locked="0"/>
    </xf>
    <xf numFmtId="0" fontId="118" fillId="56" borderId="80" xfId="0" applyFont="1" applyFill="1" applyBorder="1" applyAlignment="1" applyProtection="1">
      <alignment horizontal="right" vertical="center" wrapText="1"/>
      <protection hidden="1"/>
    </xf>
    <xf numFmtId="15" fontId="120" fillId="7" borderId="80" xfId="0" applyNumberFormat="1" applyFont="1" applyFill="1" applyBorder="1" applyAlignment="1" applyProtection="1">
      <alignment horizontal="center" vertical="center" wrapText="1"/>
      <protection hidden="1" locked="0"/>
    </xf>
    <xf numFmtId="0" fontId="69" fillId="68" borderId="339" xfId="0" applyFont="1" applyFill="1" applyBorder="1" applyAlignment="1" applyProtection="1">
      <alignment horizontal="center" vertical="center" wrapText="1"/>
      <protection hidden="1"/>
    </xf>
    <xf numFmtId="0" fontId="69" fillId="68" borderId="340" xfId="0" applyFont="1" applyFill="1" applyBorder="1" applyAlignment="1" applyProtection="1">
      <alignment horizontal="center" vertical="center" wrapText="1"/>
      <protection hidden="1"/>
    </xf>
    <xf numFmtId="0" fontId="69" fillId="68" borderId="341" xfId="0" applyNumberFormat="1" applyFont="1" applyFill="1" applyBorder="1" applyAlignment="1" applyProtection="1">
      <alignment horizontal="center" vertical="center" wrapText="1"/>
      <protection hidden="1"/>
    </xf>
    <xf numFmtId="0" fontId="69" fillId="68" borderId="342" xfId="0" applyNumberFormat="1" applyFont="1" applyFill="1" applyBorder="1" applyAlignment="1" applyProtection="1">
      <alignment horizontal="center" vertical="center" wrapText="1"/>
      <protection hidden="1"/>
    </xf>
    <xf numFmtId="0" fontId="117" fillId="7" borderId="343" xfId="0" applyFont="1" applyFill="1" applyBorder="1" applyAlignment="1" applyProtection="1">
      <alignment horizontal="center" vertical="center"/>
      <protection hidden="1" locked="0"/>
    </xf>
    <xf numFmtId="0" fontId="117" fillId="7" borderId="344" xfId="0" applyFont="1" applyFill="1" applyBorder="1" applyAlignment="1" applyProtection="1">
      <alignment horizontal="center" vertical="center"/>
      <protection hidden="1" locked="0"/>
    </xf>
    <xf numFmtId="0" fontId="166" fillId="55" borderId="345" xfId="46" applyFont="1" applyFill="1" applyBorder="1" applyAlignment="1">
      <alignment horizontal="center" vertical="center"/>
      <protection/>
    </xf>
    <xf numFmtId="0" fontId="166" fillId="55" borderId="346" xfId="46" applyFont="1" applyFill="1" applyBorder="1" applyAlignment="1">
      <alignment horizontal="center" vertical="center"/>
      <protection/>
    </xf>
    <xf numFmtId="0" fontId="166" fillId="55" borderId="347" xfId="46" applyFont="1" applyFill="1" applyBorder="1" applyAlignment="1">
      <alignment horizontal="center" vertical="center"/>
      <protection/>
    </xf>
    <xf numFmtId="0" fontId="166" fillId="55" borderId="97" xfId="46" applyFont="1" applyFill="1" applyBorder="1" applyAlignment="1">
      <alignment horizontal="center" vertical="center"/>
      <protection/>
    </xf>
    <xf numFmtId="0" fontId="166" fillId="55" borderId="244" xfId="46" applyFont="1" applyFill="1" applyBorder="1" applyAlignment="1">
      <alignment horizontal="center" vertical="center"/>
      <protection/>
    </xf>
    <xf numFmtId="0" fontId="166" fillId="55" borderId="96" xfId="46" applyFont="1" applyFill="1" applyBorder="1" applyAlignment="1">
      <alignment horizontal="center" vertical="center"/>
      <protection/>
    </xf>
    <xf numFmtId="0" fontId="28" fillId="0" borderId="53" xfId="46" applyFont="1" applyBorder="1" applyAlignment="1">
      <alignment horizontal="center" vertical="center" wrapText="1"/>
      <protection/>
    </xf>
    <xf numFmtId="0" fontId="1" fillId="0" borderId="90" xfId="46" applyBorder="1" applyAlignment="1" applyProtection="1">
      <alignment horizontal="left" vertical="center"/>
      <protection hidden="1" locked="0"/>
    </xf>
    <xf numFmtId="0" fontId="1" fillId="0" borderId="348" xfId="46" applyBorder="1" applyAlignment="1" applyProtection="1">
      <alignment horizontal="left" vertical="center"/>
      <protection hidden="1" locked="0"/>
    </xf>
    <xf numFmtId="0" fontId="1" fillId="0" borderId="90" xfId="46" applyBorder="1" applyAlignment="1" applyProtection="1">
      <alignment horizontal="left"/>
      <protection hidden="1" locked="0"/>
    </xf>
    <xf numFmtId="0" fontId="1" fillId="0" borderId="348" xfId="46" applyBorder="1" applyAlignment="1" applyProtection="1">
      <alignment horizontal="left"/>
      <protection hidden="1" locked="0"/>
    </xf>
    <xf numFmtId="0" fontId="17" fillId="4" borderId="75" xfId="46" applyFont="1" applyFill="1" applyBorder="1" applyAlignment="1" applyProtection="1">
      <alignment horizontal="left" vertical="center"/>
      <protection hidden="1" locked="0"/>
    </xf>
    <xf numFmtId="0" fontId="1" fillId="0" borderId="349" xfId="46" applyBorder="1" applyAlignment="1" applyProtection="1">
      <alignment horizontal="left"/>
      <protection hidden="1" locked="0"/>
    </xf>
    <xf numFmtId="0" fontId="1" fillId="0" borderId="350" xfId="46" applyBorder="1" applyAlignment="1" applyProtection="1">
      <alignment horizontal="left"/>
      <protection hidden="1" locked="0"/>
    </xf>
    <xf numFmtId="0" fontId="222" fillId="10" borderId="351" xfId="46" applyFont="1" applyFill="1" applyBorder="1" applyAlignment="1">
      <alignment horizontal="center" vertical="center"/>
      <protection/>
    </xf>
    <xf numFmtId="0" fontId="222" fillId="10" borderId="352" xfId="46" applyFont="1" applyFill="1" applyBorder="1" applyAlignment="1">
      <alignment horizontal="center" vertical="center"/>
      <protection/>
    </xf>
    <xf numFmtId="0" fontId="222" fillId="10" borderId="353" xfId="46" applyFont="1" applyFill="1" applyBorder="1" applyAlignment="1">
      <alignment horizontal="center" vertical="center"/>
      <protection/>
    </xf>
    <xf numFmtId="0" fontId="32" fillId="0" borderId="39" xfId="46" applyFont="1" applyBorder="1" applyAlignment="1">
      <alignment horizontal="center" vertical="center"/>
      <protection/>
    </xf>
    <xf numFmtId="0" fontId="32" fillId="0" borderId="0" xfId="46" applyFont="1" applyBorder="1" applyAlignment="1">
      <alignment horizontal="center" vertical="center"/>
      <protection/>
    </xf>
    <xf numFmtId="0" fontId="32" fillId="0" borderId="40" xfId="46" applyFont="1" applyBorder="1" applyAlignment="1">
      <alignment horizontal="center" vertical="center"/>
      <protection/>
    </xf>
    <xf numFmtId="0" fontId="17" fillId="0" borderId="39" xfId="46" applyFont="1" applyBorder="1" applyAlignment="1">
      <alignment horizontal="center" vertical="center"/>
      <protection/>
    </xf>
    <xf numFmtId="0" fontId="17" fillId="0" borderId="0" xfId="46" applyFont="1" applyBorder="1" applyAlignment="1">
      <alignment horizontal="center" vertical="center"/>
      <protection/>
    </xf>
    <xf numFmtId="0" fontId="17" fillId="0" borderId="40" xfId="46" applyFont="1" applyBorder="1" applyAlignment="1">
      <alignment horizontal="center" vertical="center"/>
      <protection/>
    </xf>
    <xf numFmtId="0" fontId="17" fillId="4" borderId="329" xfId="46" applyFont="1" applyFill="1" applyBorder="1" applyAlignment="1" applyProtection="1">
      <alignment horizontal="left" vertical="center"/>
      <protection hidden="1" locked="0"/>
    </xf>
    <xf numFmtId="0" fontId="17" fillId="4" borderId="75" xfId="46" applyFont="1" applyFill="1" applyBorder="1" applyAlignment="1" applyProtection="1">
      <alignment horizontal="center" vertical="center"/>
      <protection hidden="1" locked="0"/>
    </xf>
    <xf numFmtId="0" fontId="17" fillId="4" borderId="329" xfId="46" applyFont="1" applyFill="1" applyBorder="1" applyAlignment="1" applyProtection="1">
      <alignment horizontal="center" vertical="center"/>
      <protection hidden="1" locked="0"/>
    </xf>
    <xf numFmtId="0" fontId="36" fillId="0" borderId="39" xfId="46" applyFont="1" applyBorder="1" applyAlignment="1" applyProtection="1">
      <alignment horizontal="left" vertical="center" wrapText="1"/>
      <protection/>
    </xf>
    <xf numFmtId="0" fontId="36" fillId="0" borderId="0" xfId="46" applyFont="1" applyBorder="1" applyAlignment="1" applyProtection="1">
      <alignment horizontal="left" vertical="center" wrapText="1"/>
      <protection/>
    </xf>
    <xf numFmtId="0" fontId="36" fillId="0" borderId="40" xfId="46" applyFont="1" applyBorder="1" applyAlignment="1" applyProtection="1">
      <alignment horizontal="left" vertical="center" wrapText="1"/>
      <protection/>
    </xf>
    <xf numFmtId="0" fontId="17" fillId="4" borderId="0" xfId="46" applyFont="1" applyFill="1" applyBorder="1" applyAlignment="1" applyProtection="1">
      <alignment horizontal="center" vertical="center"/>
      <protection hidden="1" locked="0"/>
    </xf>
    <xf numFmtId="0" fontId="40" fillId="0" borderId="0" xfId="0" applyFont="1" applyAlignment="1">
      <alignment horizontal="center"/>
    </xf>
    <xf numFmtId="0" fontId="39" fillId="0" borderId="0" xfId="0" applyFont="1" applyAlignment="1">
      <alignment horizontal="right"/>
    </xf>
    <xf numFmtId="0" fontId="39" fillId="0" borderId="0" xfId="0" applyFont="1" applyAlignment="1">
      <alignment horizontal="center"/>
    </xf>
    <xf numFmtId="0" fontId="39" fillId="0" borderId="0" xfId="0" applyFont="1" applyAlignment="1">
      <alignment horizontal="left"/>
    </xf>
    <xf numFmtId="0" fontId="39" fillId="0" borderId="0" xfId="0" applyFont="1" applyAlignment="1">
      <alignment/>
    </xf>
    <xf numFmtId="0" fontId="38" fillId="0" borderId="0" xfId="0" applyFont="1" applyAlignment="1">
      <alignment horizontal="center"/>
    </xf>
    <xf numFmtId="0" fontId="32" fillId="0" borderId="0" xfId="0" applyFont="1" applyAlignment="1">
      <alignment horizontal="center"/>
    </xf>
    <xf numFmtId="0" fontId="23" fillId="0" borderId="0" xfId="0" applyFont="1" applyAlignment="1">
      <alignment horizontal="center"/>
    </xf>
    <xf numFmtId="0" fontId="5" fillId="0" borderId="0" xfId="0" applyFont="1" applyAlignment="1">
      <alignment horizontal="center"/>
    </xf>
    <xf numFmtId="0" fontId="5" fillId="0" borderId="0" xfId="0" applyFont="1" applyAlignment="1" quotePrefix="1">
      <alignment horizontal="center"/>
    </xf>
    <xf numFmtId="0" fontId="41" fillId="0" borderId="0" xfId="0" applyFont="1" applyAlignment="1">
      <alignment horizontal="center"/>
    </xf>
    <xf numFmtId="0" fontId="41" fillId="0" borderId="0" xfId="0" applyFont="1" applyAlignment="1">
      <alignment horizontal="left"/>
    </xf>
    <xf numFmtId="0" fontId="41"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77933C"/>
      <rgbColor rgb="00800080"/>
      <rgbColor rgb="00008080"/>
      <rgbColor rgb="00CCC1DA"/>
      <rgbColor rgb="00808080"/>
      <rgbColor rgb="00C4BD97"/>
      <rgbColor rgb="00953735"/>
      <rgbColor rgb="00EBF1DE"/>
      <rgbColor rgb="00DBEEF4"/>
      <rgbColor rgb="00660066"/>
      <rgbColor rgb="00D99694"/>
      <rgbColor rgb="000066CC"/>
      <rgbColor rgb="00B7DEE8"/>
      <rgbColor rgb="00000080"/>
      <rgbColor rgb="00FF00FF"/>
      <rgbColor rgb="00FFFF00"/>
      <rgbColor rgb="0000FFFF"/>
      <rgbColor rgb="00800080"/>
      <rgbColor rgb="00800000"/>
      <rgbColor rgb="00008080"/>
      <rgbColor rgb="000000FF"/>
      <rgbColor rgb="0000B0F0"/>
      <rgbColor rgb="00E6E0EC"/>
      <rgbColor rgb="00D7E4BD"/>
      <rgbColor rgb="00FCD5B5"/>
      <rgbColor rgb="008EB4E3"/>
      <rgbColor rgb="00E6B9B8"/>
      <rgbColor rgb="00B3A2C7"/>
      <rgbColor rgb="00FAC090"/>
      <rgbColor rgb="003366FF"/>
      <rgbColor rgb="0033CCCC"/>
      <rgbColor rgb="0092D050"/>
      <rgbColor rgb="00FFC000"/>
      <rgbColor rgb="00FF9900"/>
      <rgbColor rgb="00E46C0A"/>
      <rgbColor rgb="00666699"/>
      <rgbColor rgb="009BBB59"/>
      <rgbColor rgb="00002060"/>
      <rgbColor rgb="00339966"/>
      <rgbColor rgb="000D0D0D"/>
      <rgbColor rgb="001E1C11"/>
      <rgbColor rgb="00993300"/>
      <rgbColor rgb="007030A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Tax rules'!B2" /><Relationship Id="rId3" Type="http://schemas.openxmlformats.org/officeDocument/2006/relationships/hyperlink" Target="#'Tax rules'!B2" /><Relationship Id="rId4" Type="http://schemas.openxmlformats.org/officeDocument/2006/relationships/hyperlink" Target="#'Tax rules'!B2" /><Relationship Id="rId5" Type="http://schemas.openxmlformats.org/officeDocument/2006/relationships/hyperlink" Target="#'Tax rules'!B2" /><Relationship Id="rId6" Type="http://schemas.openxmlformats.org/officeDocument/2006/relationships/hyperlink" Target="#'Tax rules'!B2" /><Relationship Id="rId7" Type="http://schemas.openxmlformats.org/officeDocument/2006/relationships/image" Target="../media/image4.jpeg" /><Relationship Id="rId8" Type="http://schemas.openxmlformats.org/officeDocument/2006/relationships/image" Target="../media/image5.jpeg" /><Relationship Id="rId9" Type="http://schemas.openxmlformats.org/officeDocument/2006/relationships/image" Target="../media/image6.jpeg" /><Relationship Id="rId10" Type="http://schemas.openxmlformats.org/officeDocument/2006/relationships/image" Target="../media/image7.jpeg" /><Relationship Id="rId11" Type="http://schemas.openxmlformats.org/officeDocument/2006/relationships/image" Target="../media/image8.jpeg" /><Relationship Id="rId12"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hyperlink" Target="#Bill!A1" /><Relationship Id="rId2" Type="http://schemas.openxmlformats.org/officeDocument/2006/relationships/hyperlink" Target="#'Annexure -I I'!A1" /><Relationship Id="rId3" Type="http://schemas.openxmlformats.org/officeDocument/2006/relationships/hyperlink" Target="#'Form-16'!A1" /><Relationship Id="rId4" Type="http://schemas.openxmlformats.org/officeDocument/2006/relationships/hyperlink" Target="#'DA Table'!A1" /><Relationship Id="rId5" Type="http://schemas.openxmlformats.org/officeDocument/2006/relationships/hyperlink" Target="#'Form-16 Back'!A1" /><Relationship Id="rId6" Type="http://schemas.openxmlformats.org/officeDocument/2006/relationships/hyperlink" Target="#'Tax rules'!A1" /><Relationship Id="rId7" Type="http://schemas.openxmlformats.org/officeDocument/2006/relationships/image" Target="../media/image3.jpeg" /><Relationship Id="rId8" Type="http://schemas.openxmlformats.org/officeDocument/2006/relationships/image" Target="../media/image10.jpeg"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6505575</xdr:colOff>
      <xdr:row>13</xdr:row>
      <xdr:rowOff>0</xdr:rowOff>
    </xdr:from>
    <xdr:to>
      <xdr:col>2</xdr:col>
      <xdr:colOff>7877175</xdr:colOff>
      <xdr:row>17</xdr:row>
      <xdr:rowOff>95250</xdr:rowOff>
    </xdr:to>
    <xdr:sp>
      <xdr:nvSpPr>
        <xdr:cNvPr id="1" name="Oval 1">
          <a:hlinkClick r:id="rId1"/>
        </xdr:cNvPr>
        <xdr:cNvSpPr>
          <a:spLocks/>
        </xdr:cNvSpPr>
      </xdr:nvSpPr>
      <xdr:spPr>
        <a:xfrm>
          <a:off x="7181850" y="2924175"/>
          <a:ext cx="1381125" cy="638175"/>
        </a:xfrm>
        <a:prstGeom prst="ellipse">
          <a:avLst/>
        </a:prstGeom>
        <a:gradFill rotWithShape="1">
          <a:gsLst>
            <a:gs pos="0">
              <a:srgbClr val="DDEBCF"/>
            </a:gs>
            <a:gs pos="50000">
              <a:srgbClr val="9CB86E"/>
            </a:gs>
            <a:gs pos="100000">
              <a:srgbClr val="156B13"/>
            </a:gs>
          </a:gsLst>
          <a:lin ang="2700000" scaled="1"/>
        </a:gradFill>
        <a:ln w="9525" cmpd="sng">
          <a:noFill/>
        </a:ln>
      </xdr:spPr>
      <xdr:txBody>
        <a:bodyPr vertOverflow="clip" wrap="square" lIns="18288" tIns="0" rIns="0" bIns="0" anchor="ctr"/>
        <a:p>
          <a:pPr algn="ctr">
            <a:defRPr/>
          </a:pPr>
          <a:r>
            <a:rPr lang="en-US" cap="none" sz="1400" b="1" i="0" u="none" baseline="0">
              <a:solidFill>
                <a:srgbClr val="000000"/>
              </a:solidFill>
            </a:rPr>
            <a:t>Click</a:t>
          </a:r>
          <a:r>
            <a:rPr lang="en-US" cap="none" sz="1400" b="1" i="0" u="none" baseline="0">
              <a:solidFill>
                <a:srgbClr val="000000"/>
              </a:solidFill>
            </a:rPr>
            <a:t> Here</a:t>
          </a:r>
        </a:p>
      </xdr:txBody>
    </xdr:sp>
    <xdr:clientData/>
  </xdr:twoCellAnchor>
  <xdr:twoCellAnchor>
    <xdr:from>
      <xdr:col>1</xdr:col>
      <xdr:colOff>57150</xdr:colOff>
      <xdr:row>8</xdr:row>
      <xdr:rowOff>9525</xdr:rowOff>
    </xdr:from>
    <xdr:to>
      <xdr:col>2</xdr:col>
      <xdr:colOff>8248650</xdr:colOff>
      <xdr:row>8</xdr:row>
      <xdr:rowOff>304800</xdr:rowOff>
    </xdr:to>
    <xdr:sp>
      <xdr:nvSpPr>
        <xdr:cNvPr id="2" name="Rounded Rectangle 2"/>
        <xdr:cNvSpPr>
          <a:spLocks/>
        </xdr:cNvSpPr>
      </xdr:nvSpPr>
      <xdr:spPr>
        <a:xfrm>
          <a:off x="361950" y="1885950"/>
          <a:ext cx="8562975" cy="295275"/>
        </a:xfrm>
        <a:prstGeom prst="roundRect">
          <a:avLst/>
        </a:prstGeom>
        <a:blipFill>
          <a:blip r:embed="rId7"/>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400" b="1" i="0" u="none" baseline="0">
              <a:solidFill>
                <a:srgbClr val="FF0000"/>
              </a:solidFill>
            </a:rPr>
            <a:t>If you want to get free messeges</a:t>
          </a:r>
          <a:r>
            <a:rPr lang="en-US" cap="none" sz="1400" b="1" i="0" u="none" baseline="0">
              <a:solidFill>
                <a:srgbClr val="FF0000"/>
              </a:solidFill>
            </a:rPr>
            <a:t> from  kurnoolbadi,          </a:t>
          </a:r>
          <a:r>
            <a:rPr lang="en-US" cap="none" sz="1100" b="1" i="0" u="none" baseline="0">
              <a:solidFill>
                <a:srgbClr val="000000"/>
              </a:solidFill>
            </a:rPr>
            <a:t>@FOLLOW  KURNOOLBADI     </a:t>
          </a:r>
          <a:r>
            <a:rPr lang="en-US" cap="none" sz="1100" b="1" i="0" u="none" baseline="0">
              <a:solidFill>
                <a:srgbClr val="FF0000"/>
              </a:solidFill>
            </a:rPr>
            <a:t>Send  to  51115</a:t>
          </a:r>
        </a:p>
      </xdr:txBody>
    </xdr:sp>
    <xdr:clientData/>
  </xdr:twoCellAnchor>
  <xdr:twoCellAnchor>
    <xdr:from>
      <xdr:col>2</xdr:col>
      <xdr:colOff>7639050</xdr:colOff>
      <xdr:row>35</xdr:row>
      <xdr:rowOff>9525</xdr:rowOff>
    </xdr:from>
    <xdr:to>
      <xdr:col>2</xdr:col>
      <xdr:colOff>8458200</xdr:colOff>
      <xdr:row>38</xdr:row>
      <xdr:rowOff>142875</xdr:rowOff>
    </xdr:to>
    <xdr:sp>
      <xdr:nvSpPr>
        <xdr:cNvPr id="3" name="Up Arrow 3">
          <a:hlinkClick r:id="rId2"/>
        </xdr:cNvPr>
        <xdr:cNvSpPr>
          <a:spLocks/>
        </xdr:cNvSpPr>
      </xdr:nvSpPr>
      <xdr:spPr>
        <a:xfrm>
          <a:off x="8315325" y="6734175"/>
          <a:ext cx="819150" cy="676275"/>
        </a:xfrm>
        <a:prstGeom prst="upArrow">
          <a:avLst>
            <a:gd name="adj" fmla="val 0"/>
          </a:avLst>
        </a:prstGeom>
        <a:blipFill>
          <a:blip r:embed="rId8"/>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7658100</xdr:colOff>
      <xdr:row>53</xdr:row>
      <xdr:rowOff>38100</xdr:rowOff>
    </xdr:from>
    <xdr:to>
      <xdr:col>2</xdr:col>
      <xdr:colOff>8477250</xdr:colOff>
      <xdr:row>56</xdr:row>
      <xdr:rowOff>171450</xdr:rowOff>
    </xdr:to>
    <xdr:sp>
      <xdr:nvSpPr>
        <xdr:cNvPr id="4" name="Up Arrow 4">
          <a:hlinkClick r:id="rId3"/>
        </xdr:cNvPr>
        <xdr:cNvSpPr>
          <a:spLocks/>
        </xdr:cNvSpPr>
      </xdr:nvSpPr>
      <xdr:spPr>
        <a:xfrm>
          <a:off x="8334375" y="9877425"/>
          <a:ext cx="819150" cy="676275"/>
        </a:xfrm>
        <a:prstGeom prst="upArrow">
          <a:avLst>
            <a:gd name="adj" fmla="val 0"/>
          </a:avLst>
        </a:prstGeom>
        <a:blipFill>
          <a:blip r:embed="rId9"/>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7791450</xdr:colOff>
      <xdr:row>76</xdr:row>
      <xdr:rowOff>9525</xdr:rowOff>
    </xdr:from>
    <xdr:to>
      <xdr:col>2</xdr:col>
      <xdr:colOff>8610600</xdr:colOff>
      <xdr:row>78</xdr:row>
      <xdr:rowOff>171450</xdr:rowOff>
    </xdr:to>
    <xdr:sp>
      <xdr:nvSpPr>
        <xdr:cNvPr id="5" name="Up Arrow 5">
          <a:hlinkClick r:id="rId4"/>
        </xdr:cNvPr>
        <xdr:cNvSpPr>
          <a:spLocks/>
        </xdr:cNvSpPr>
      </xdr:nvSpPr>
      <xdr:spPr>
        <a:xfrm>
          <a:off x="8467725" y="13611225"/>
          <a:ext cx="819150" cy="676275"/>
        </a:xfrm>
        <a:prstGeom prst="upArrow">
          <a:avLst>
            <a:gd name="adj" fmla="val 0"/>
          </a:avLst>
        </a:prstGeom>
        <a:blipFill>
          <a:blip r:embed="rId10"/>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7934325</xdr:colOff>
      <xdr:row>92</xdr:row>
      <xdr:rowOff>57150</xdr:rowOff>
    </xdr:from>
    <xdr:to>
      <xdr:col>2</xdr:col>
      <xdr:colOff>8753475</xdr:colOff>
      <xdr:row>94</xdr:row>
      <xdr:rowOff>200025</xdr:rowOff>
    </xdr:to>
    <xdr:sp>
      <xdr:nvSpPr>
        <xdr:cNvPr id="6" name="Up Arrow 6">
          <a:hlinkClick r:id="rId5"/>
        </xdr:cNvPr>
        <xdr:cNvSpPr>
          <a:spLocks/>
        </xdr:cNvSpPr>
      </xdr:nvSpPr>
      <xdr:spPr>
        <a:xfrm>
          <a:off x="8610600" y="19278600"/>
          <a:ext cx="819150" cy="676275"/>
        </a:xfrm>
        <a:prstGeom prst="upArrow">
          <a:avLst>
            <a:gd name="adj" fmla="val 0"/>
          </a:avLst>
        </a:prstGeom>
        <a:blipFill>
          <a:blip r:embed="rId11"/>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0</xdr:col>
      <xdr:colOff>0</xdr:colOff>
      <xdr:row>105</xdr:row>
      <xdr:rowOff>161925</xdr:rowOff>
    </xdr:from>
    <xdr:to>
      <xdr:col>1</xdr:col>
      <xdr:colOff>352425</xdr:colOff>
      <xdr:row>106</xdr:row>
      <xdr:rowOff>0</xdr:rowOff>
    </xdr:to>
    <xdr:sp>
      <xdr:nvSpPr>
        <xdr:cNvPr id="7" name="Up Arrow 7">
          <a:hlinkClick r:id="rId6"/>
        </xdr:cNvPr>
        <xdr:cNvSpPr>
          <a:spLocks/>
        </xdr:cNvSpPr>
      </xdr:nvSpPr>
      <xdr:spPr>
        <a:xfrm>
          <a:off x="0" y="26650950"/>
          <a:ext cx="657225" cy="561975"/>
        </a:xfrm>
        <a:prstGeom prst="upArrow">
          <a:avLst>
            <a:gd name="adj" fmla="val 0"/>
          </a:avLst>
        </a:prstGeom>
        <a:blipFill>
          <a:blip r:embed="rId12"/>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a:t>
          </a:r>
          <a:r>
            <a:rPr lang="en-US" cap="none" sz="1400" b="1" i="0" u="none" baseline="0">
              <a:solidFill>
                <a:srgbClr val="FF0000"/>
              </a:solidFill>
            </a:rPr>
            <a:t>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4311</xdr:row>
      <xdr:rowOff>133350</xdr:rowOff>
    </xdr:from>
    <xdr:to>
      <xdr:col>1</xdr:col>
      <xdr:colOff>28575</xdr:colOff>
      <xdr:row>8091</xdr:row>
      <xdr:rowOff>38100</xdr:rowOff>
    </xdr:to>
    <xdr:sp>
      <xdr:nvSpPr>
        <xdr:cNvPr id="1" name="Rectangle 10"/>
        <xdr:cNvSpPr>
          <a:spLocks/>
        </xdr:cNvSpPr>
      </xdr:nvSpPr>
      <xdr:spPr>
        <a:xfrm>
          <a:off x="295275" y="674141400"/>
          <a:ext cx="0" cy="611981250"/>
        </a:xfrm>
        <a:prstGeom prst="rect">
          <a:avLst/>
        </a:prstGeom>
        <a:gradFill rotWithShape="1">
          <a:gsLst>
            <a:gs pos="0">
              <a:srgbClr val="2E5F99"/>
            </a:gs>
            <a:gs pos="100000">
              <a:srgbClr val="397BCA"/>
            </a:gs>
          </a:gsLst>
          <a:lin ang="5400000" scaled="1"/>
        </a:gradFill>
        <a:ln w="936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419100</xdr:colOff>
      <xdr:row>6</xdr:row>
      <xdr:rowOff>19050</xdr:rowOff>
    </xdr:from>
    <xdr:to>
      <xdr:col>17</xdr:col>
      <xdr:colOff>561975</xdr:colOff>
      <xdr:row>7</xdr:row>
      <xdr:rowOff>209550</xdr:rowOff>
    </xdr:to>
    <xdr:sp>
      <xdr:nvSpPr>
        <xdr:cNvPr id="2" name="Down Arrow 7"/>
        <xdr:cNvSpPr>
          <a:spLocks/>
        </xdr:cNvSpPr>
      </xdr:nvSpPr>
      <xdr:spPr>
        <a:xfrm>
          <a:off x="11172825" y="1524000"/>
          <a:ext cx="142875" cy="523875"/>
        </a:xfrm>
        <a:prstGeom prst="downArrow">
          <a:avLst>
            <a:gd name="adj" fmla="val 34162"/>
          </a:avLst>
        </a:prstGeom>
        <a:gradFill rotWithShape="1">
          <a:gsLst>
            <a:gs pos="0">
              <a:srgbClr val="DDEBCF"/>
            </a:gs>
            <a:gs pos="50000">
              <a:srgbClr val="9CB86E"/>
            </a:gs>
            <a:gs pos="100000">
              <a:srgbClr val="156B1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1</xdr:row>
      <xdr:rowOff>28575</xdr:rowOff>
    </xdr:from>
    <xdr:to>
      <xdr:col>3</xdr:col>
      <xdr:colOff>209550</xdr:colOff>
      <xdr:row>2</xdr:row>
      <xdr:rowOff>228600</xdr:rowOff>
    </xdr:to>
    <xdr:sp>
      <xdr:nvSpPr>
        <xdr:cNvPr id="3" name="Right Arrow 5">
          <a:hlinkClick r:id="rId1"/>
        </xdr:cNvPr>
        <xdr:cNvSpPr>
          <a:spLocks/>
        </xdr:cNvSpPr>
      </xdr:nvSpPr>
      <xdr:spPr>
        <a:xfrm>
          <a:off x="523875" y="219075"/>
          <a:ext cx="1009650" cy="447675"/>
        </a:xfrm>
        <a:prstGeom prst="rightArrow">
          <a:avLst>
            <a:gd name="adj" fmla="val 27273"/>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BILL</a:t>
          </a:r>
        </a:p>
      </xdr:txBody>
    </xdr:sp>
    <xdr:clientData/>
  </xdr:twoCellAnchor>
  <xdr:twoCellAnchor>
    <xdr:from>
      <xdr:col>3</xdr:col>
      <xdr:colOff>647700</xdr:colOff>
      <xdr:row>1</xdr:row>
      <xdr:rowOff>28575</xdr:rowOff>
    </xdr:from>
    <xdr:to>
      <xdr:col>5</xdr:col>
      <xdr:colOff>276225</xdr:colOff>
      <xdr:row>2</xdr:row>
      <xdr:rowOff>228600</xdr:rowOff>
    </xdr:to>
    <xdr:sp>
      <xdr:nvSpPr>
        <xdr:cNvPr id="4" name="Right Arrow 6">
          <a:hlinkClick r:id="rId2"/>
        </xdr:cNvPr>
        <xdr:cNvSpPr>
          <a:spLocks/>
        </xdr:cNvSpPr>
      </xdr:nvSpPr>
      <xdr:spPr>
        <a:xfrm>
          <a:off x="1971675" y="219075"/>
          <a:ext cx="952500" cy="447675"/>
        </a:xfrm>
        <a:prstGeom prst="rightArrow">
          <a:avLst>
            <a:gd name="adj" fmla="val 27273"/>
          </a:avLst>
        </a:prstGeom>
        <a:gradFill rotWithShape="1">
          <a:gsLst>
            <a:gs pos="0">
              <a:srgbClr val="FF3399"/>
            </a:gs>
            <a:gs pos="25000">
              <a:srgbClr val="FF6633"/>
            </a:gs>
            <a:gs pos="50000">
              <a:srgbClr val="FFFF00"/>
            </a:gs>
            <a:gs pos="75000">
              <a:srgbClr val="01A78F"/>
            </a:gs>
            <a:gs pos="100000">
              <a:srgbClr val="3366FF"/>
            </a:gs>
          </a:gsLst>
          <a:lin ang="27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ANNEXURE-I</a:t>
          </a:r>
        </a:p>
      </xdr:txBody>
    </xdr:sp>
    <xdr:clientData/>
  </xdr:twoCellAnchor>
  <xdr:twoCellAnchor>
    <xdr:from>
      <xdr:col>6</xdr:col>
      <xdr:colOff>257175</xdr:colOff>
      <xdr:row>1</xdr:row>
      <xdr:rowOff>19050</xdr:rowOff>
    </xdr:from>
    <xdr:to>
      <xdr:col>7</xdr:col>
      <xdr:colOff>447675</xdr:colOff>
      <xdr:row>2</xdr:row>
      <xdr:rowOff>219075</xdr:rowOff>
    </xdr:to>
    <xdr:sp>
      <xdr:nvSpPr>
        <xdr:cNvPr id="5" name="Right Arrow 7">
          <a:hlinkClick r:id="rId3"/>
        </xdr:cNvPr>
        <xdr:cNvSpPr>
          <a:spLocks/>
        </xdr:cNvSpPr>
      </xdr:nvSpPr>
      <xdr:spPr>
        <a:xfrm>
          <a:off x="3400425" y="209550"/>
          <a:ext cx="781050" cy="447675"/>
        </a:xfrm>
        <a:prstGeom prst="rightArrow">
          <a:avLst>
            <a:gd name="adj" fmla="val 27273"/>
          </a:avLst>
        </a:prstGeom>
        <a:gradFill rotWithShape="1">
          <a:gsLst>
            <a:gs pos="0">
              <a:srgbClr val="A603AB"/>
            </a:gs>
            <a:gs pos="21001">
              <a:srgbClr val="0819FB"/>
            </a:gs>
            <a:gs pos="35001">
              <a:srgbClr val="1A8D48"/>
            </a:gs>
            <a:gs pos="52000">
              <a:srgbClr val="FFFF00"/>
            </a:gs>
            <a:gs pos="73000">
              <a:srgbClr val="EE3F17"/>
            </a:gs>
            <a:gs pos="88000">
              <a:srgbClr val="E81766"/>
            </a:gs>
            <a:gs pos="100000">
              <a:srgbClr val="A603AB"/>
            </a:gs>
          </a:gsLst>
          <a:lin ang="27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Form-16</a:t>
          </a:r>
        </a:p>
      </xdr:txBody>
    </xdr:sp>
    <xdr:clientData/>
  </xdr:twoCellAnchor>
  <xdr:twoCellAnchor>
    <xdr:from>
      <xdr:col>16</xdr:col>
      <xdr:colOff>152400</xdr:colOff>
      <xdr:row>1</xdr:row>
      <xdr:rowOff>0</xdr:rowOff>
    </xdr:from>
    <xdr:to>
      <xdr:col>17</xdr:col>
      <xdr:colOff>390525</xdr:colOff>
      <xdr:row>2</xdr:row>
      <xdr:rowOff>200025</xdr:rowOff>
    </xdr:to>
    <xdr:sp>
      <xdr:nvSpPr>
        <xdr:cNvPr id="6" name="Right Arrow 9">
          <a:hlinkClick r:id="rId4"/>
        </xdr:cNvPr>
        <xdr:cNvSpPr>
          <a:spLocks/>
        </xdr:cNvSpPr>
      </xdr:nvSpPr>
      <xdr:spPr>
        <a:xfrm>
          <a:off x="10229850" y="190500"/>
          <a:ext cx="914400" cy="447675"/>
        </a:xfrm>
        <a:prstGeom prst="rightArrow">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D.A</a:t>
          </a:r>
        </a:p>
      </xdr:txBody>
    </xdr:sp>
    <xdr:clientData/>
  </xdr:twoCellAnchor>
  <xdr:twoCellAnchor>
    <xdr:from>
      <xdr:col>9</xdr:col>
      <xdr:colOff>114300</xdr:colOff>
      <xdr:row>1</xdr:row>
      <xdr:rowOff>28575</xdr:rowOff>
    </xdr:from>
    <xdr:to>
      <xdr:col>9</xdr:col>
      <xdr:colOff>1057275</xdr:colOff>
      <xdr:row>2</xdr:row>
      <xdr:rowOff>228600</xdr:rowOff>
    </xdr:to>
    <xdr:sp>
      <xdr:nvSpPr>
        <xdr:cNvPr id="7" name="Right Arrow 10">
          <a:hlinkClick r:id="rId5"/>
        </xdr:cNvPr>
        <xdr:cNvSpPr>
          <a:spLocks/>
        </xdr:cNvSpPr>
      </xdr:nvSpPr>
      <xdr:spPr>
        <a:xfrm>
          <a:off x="4486275" y="219075"/>
          <a:ext cx="942975" cy="447675"/>
        </a:xfrm>
        <a:prstGeom prst="rightArrow">
          <a:avLst>
            <a:gd name="adj" fmla="val 25759"/>
          </a:avLst>
        </a:prstGeom>
        <a:gradFill rotWithShape="1">
          <a:gsLst>
            <a:gs pos="0">
              <a:srgbClr val="FF3399"/>
            </a:gs>
            <a:gs pos="25000">
              <a:srgbClr val="FF6633"/>
            </a:gs>
            <a:gs pos="50000">
              <a:srgbClr val="FFFF00"/>
            </a:gs>
            <a:gs pos="75000">
              <a:srgbClr val="01A78F"/>
            </a:gs>
            <a:gs pos="100000">
              <a:srgbClr val="3366FF"/>
            </a:gs>
          </a:gsLst>
          <a:lin ang="189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Form-16 Back</a:t>
          </a:r>
        </a:p>
      </xdr:txBody>
    </xdr:sp>
    <xdr:clientData/>
  </xdr:twoCellAnchor>
  <xdr:twoCellAnchor>
    <xdr:from>
      <xdr:col>2</xdr:col>
      <xdr:colOff>552450</xdr:colOff>
      <xdr:row>4</xdr:row>
      <xdr:rowOff>28575</xdr:rowOff>
    </xdr:from>
    <xdr:to>
      <xdr:col>5</xdr:col>
      <xdr:colOff>438150</xdr:colOff>
      <xdr:row>5</xdr:row>
      <xdr:rowOff>257175</xdr:rowOff>
    </xdr:to>
    <xdr:sp>
      <xdr:nvSpPr>
        <xdr:cNvPr id="8" name="Rounded Rectangle 14"/>
        <xdr:cNvSpPr>
          <a:spLocks/>
        </xdr:cNvSpPr>
      </xdr:nvSpPr>
      <xdr:spPr>
        <a:xfrm>
          <a:off x="971550" y="962025"/>
          <a:ext cx="2114550" cy="514350"/>
        </a:xfrm>
        <a:prstGeom prst="roundRect">
          <a:avLst/>
        </a:prstGeom>
        <a:gradFill rotWithShape="1">
          <a:gsLst>
            <a:gs pos="0">
              <a:srgbClr val="110000"/>
            </a:gs>
            <a:gs pos="17999">
              <a:srgbClr val="FEE7F2"/>
            </a:gs>
            <a:gs pos="36000">
              <a:srgbClr val="FAC77D"/>
            </a:gs>
            <a:gs pos="61000">
              <a:srgbClr val="FBA97D"/>
            </a:gs>
            <a:gs pos="82001">
              <a:srgbClr val="FBD49C"/>
            </a:gs>
            <a:gs pos="100000">
              <a:srgbClr val="FEE7F2"/>
            </a:gs>
          </a:gsLst>
          <a:lin ang="5400000" scaled="1"/>
        </a:gradFill>
        <a:ln w="38100" cmpd="sng">
          <a:solidFill>
            <a:srgbClr val="000000"/>
          </a:solidFill>
          <a:headEnd type="none"/>
          <a:tailEnd type="none"/>
        </a:ln>
      </xdr:spPr>
      <xdr:txBody>
        <a:bodyPr vertOverflow="clip" wrap="square" lIns="18288" tIns="0" rIns="0" bIns="0" anchor="ctr"/>
        <a:p>
          <a:pPr algn="ctr">
            <a:defRPr/>
          </a:pPr>
          <a:r>
            <a:rPr lang="en-US" cap="none" sz="2400" b="1" i="0" u="none" baseline="0"/>
            <a:t>HOUSE RENT</a:t>
          </a:r>
        </a:p>
      </xdr:txBody>
    </xdr:sp>
    <xdr:clientData/>
  </xdr:twoCellAnchor>
  <xdr:twoCellAnchor>
    <xdr:from>
      <xdr:col>15</xdr:col>
      <xdr:colOff>38100</xdr:colOff>
      <xdr:row>4</xdr:row>
      <xdr:rowOff>28575</xdr:rowOff>
    </xdr:from>
    <xdr:to>
      <xdr:col>16</xdr:col>
      <xdr:colOff>657225</xdr:colOff>
      <xdr:row>5</xdr:row>
      <xdr:rowOff>228600</xdr:rowOff>
    </xdr:to>
    <xdr:sp>
      <xdr:nvSpPr>
        <xdr:cNvPr id="9" name="Rounded Rectangle 18"/>
        <xdr:cNvSpPr>
          <a:spLocks/>
        </xdr:cNvSpPr>
      </xdr:nvSpPr>
      <xdr:spPr>
        <a:xfrm>
          <a:off x="9391650" y="962025"/>
          <a:ext cx="1343025" cy="485775"/>
        </a:xfrm>
        <a:prstGeom prst="roundRect">
          <a:avLst/>
        </a:prstGeom>
        <a:gradFill rotWithShape="1">
          <a:gsLst>
            <a:gs pos="0">
              <a:srgbClr val="FFF200"/>
            </a:gs>
            <a:gs pos="45000">
              <a:srgbClr val="FF7A00"/>
            </a:gs>
            <a:gs pos="70000">
              <a:srgbClr val="FF0300"/>
            </a:gs>
            <a:gs pos="100000">
              <a:srgbClr val="4D0808"/>
            </a:gs>
          </a:gsLst>
          <a:lin ang="5400000" scaled="1"/>
        </a:gradFill>
        <a:ln w="38100" cmpd="sng">
          <a:solidFill>
            <a:srgbClr val="000000"/>
          </a:solidFill>
          <a:headEnd type="none"/>
          <a:tailEnd type="none"/>
        </a:ln>
      </xdr:spPr>
      <xdr:txBody>
        <a:bodyPr vertOverflow="clip" wrap="square" lIns="18288" tIns="0" rIns="0" bIns="0"/>
        <a:p>
          <a:pPr algn="ctr">
            <a:defRPr/>
          </a:pPr>
          <a:r>
            <a:rPr lang="en-US" cap="none" sz="1300" b="1" i="0" u="none" baseline="0">
              <a:solidFill>
                <a:srgbClr val="000000"/>
              </a:solidFill>
            </a:rPr>
            <a:t>Your  Net  Taxble</a:t>
          </a:r>
          <a:r>
            <a:rPr lang="en-US" cap="none" sz="1300" b="1" i="0" u="none" baseline="0">
              <a:solidFill>
                <a:srgbClr val="000000"/>
              </a:solidFill>
            </a:rPr>
            <a:t> Income</a:t>
          </a:r>
        </a:p>
      </xdr:txBody>
    </xdr:sp>
    <xdr:clientData/>
  </xdr:twoCellAnchor>
  <xdr:twoCellAnchor>
    <xdr:from>
      <xdr:col>10</xdr:col>
      <xdr:colOff>333375</xdr:colOff>
      <xdr:row>5</xdr:row>
      <xdr:rowOff>133350</xdr:rowOff>
    </xdr:from>
    <xdr:to>
      <xdr:col>11</xdr:col>
      <xdr:colOff>285750</xdr:colOff>
      <xdr:row>5</xdr:row>
      <xdr:rowOff>142875</xdr:rowOff>
    </xdr:to>
    <xdr:sp>
      <xdr:nvSpPr>
        <xdr:cNvPr id="10" name="Straight Arrow Connector 20"/>
        <xdr:cNvSpPr>
          <a:spLocks/>
        </xdr:cNvSpPr>
      </xdr:nvSpPr>
      <xdr:spPr>
        <a:xfrm flipV="1">
          <a:off x="6076950" y="1352550"/>
          <a:ext cx="76200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5</xdr:row>
      <xdr:rowOff>142875</xdr:rowOff>
    </xdr:from>
    <xdr:to>
      <xdr:col>9</xdr:col>
      <xdr:colOff>257175</xdr:colOff>
      <xdr:row>5</xdr:row>
      <xdr:rowOff>142875</xdr:rowOff>
    </xdr:to>
    <xdr:sp>
      <xdr:nvSpPr>
        <xdr:cNvPr id="11" name="Straight Arrow Connector 22"/>
        <xdr:cNvSpPr>
          <a:spLocks/>
        </xdr:cNvSpPr>
      </xdr:nvSpPr>
      <xdr:spPr>
        <a:xfrm rot="10800000" flipV="1">
          <a:off x="4171950" y="1362075"/>
          <a:ext cx="4572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3</xdr:row>
      <xdr:rowOff>9525</xdr:rowOff>
    </xdr:from>
    <xdr:to>
      <xdr:col>14</xdr:col>
      <xdr:colOff>619125</xdr:colOff>
      <xdr:row>3</xdr:row>
      <xdr:rowOff>219075</xdr:rowOff>
    </xdr:to>
    <xdr:sp>
      <xdr:nvSpPr>
        <xdr:cNvPr id="12" name="Rounded Rectangle 16"/>
        <xdr:cNvSpPr>
          <a:spLocks/>
        </xdr:cNvSpPr>
      </xdr:nvSpPr>
      <xdr:spPr>
        <a:xfrm>
          <a:off x="238125" y="695325"/>
          <a:ext cx="8953500" cy="209550"/>
        </a:xfrm>
        <a:prstGeom prst="roundRect">
          <a:avLst/>
        </a:prstGeom>
        <a:blipFill>
          <a:blip r:embed="rId8"/>
          <a:srcRect/>
          <a:stretch>
            <a:fillRect/>
          </a:stretch>
        </a:blipFill>
        <a:ln w="9525" cmpd="sng">
          <a:solidFill>
            <a:srgbClr val="000000"/>
          </a:solidFill>
          <a:headEnd type="none"/>
          <a:tailEnd type="none"/>
        </a:ln>
      </xdr:spPr>
      <xdr:txBody>
        <a:bodyPr vertOverflow="clip" wrap="square" lIns="18288" tIns="0" rIns="0" bIns="0" anchor="ctr"/>
        <a:p>
          <a:pPr algn="ctr">
            <a:defRPr/>
          </a:pPr>
          <a:r>
            <a:rPr lang="en-US" cap="none" sz="1600" b="1" i="0" u="none" baseline="0">
              <a:solidFill>
                <a:srgbClr val="FF0000"/>
              </a:solidFill>
            </a:rPr>
            <a:t>Please follow this instruction: Every time work(Edit) with Copy software Only from Orginal software.</a:t>
          </a:r>
        </a:p>
      </xdr:txBody>
    </xdr:sp>
    <xdr:clientData/>
  </xdr:twoCellAnchor>
  <xdr:twoCellAnchor>
    <xdr:from>
      <xdr:col>19</xdr:col>
      <xdr:colOff>190500</xdr:colOff>
      <xdr:row>6</xdr:row>
      <xdr:rowOff>171450</xdr:rowOff>
    </xdr:from>
    <xdr:to>
      <xdr:col>19</xdr:col>
      <xdr:colOff>190500</xdr:colOff>
      <xdr:row>8</xdr:row>
      <xdr:rowOff>133350</xdr:rowOff>
    </xdr:to>
    <xdr:sp>
      <xdr:nvSpPr>
        <xdr:cNvPr id="13" name="Down Arrow 7"/>
        <xdr:cNvSpPr>
          <a:spLocks/>
        </xdr:cNvSpPr>
      </xdr:nvSpPr>
      <xdr:spPr>
        <a:xfrm>
          <a:off x="12211050" y="1676400"/>
          <a:ext cx="0" cy="523875"/>
        </a:xfrm>
        <a:prstGeom prst="downArrow">
          <a:avLst>
            <a:gd name="adj" fmla="val 35481"/>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561975</xdr:colOff>
      <xdr:row>6</xdr:row>
      <xdr:rowOff>28575</xdr:rowOff>
    </xdr:from>
    <xdr:to>
      <xdr:col>18</xdr:col>
      <xdr:colOff>695325</xdr:colOff>
      <xdr:row>7</xdr:row>
      <xdr:rowOff>219075</xdr:rowOff>
    </xdr:to>
    <xdr:sp>
      <xdr:nvSpPr>
        <xdr:cNvPr id="14" name="Down Arrow 7"/>
        <xdr:cNvSpPr>
          <a:spLocks/>
        </xdr:cNvSpPr>
      </xdr:nvSpPr>
      <xdr:spPr>
        <a:xfrm>
          <a:off x="11887200" y="1533525"/>
          <a:ext cx="133350" cy="523875"/>
        </a:xfrm>
        <a:prstGeom prst="downArrow">
          <a:avLst>
            <a:gd name="adj" fmla="val 34162"/>
          </a:avLst>
        </a:prstGeom>
        <a:gradFill rotWithShape="1">
          <a:gsLst>
            <a:gs pos="0">
              <a:srgbClr val="DDEBCF"/>
            </a:gs>
            <a:gs pos="50000">
              <a:srgbClr val="9CB86E"/>
            </a:gs>
            <a:gs pos="100000">
              <a:srgbClr val="156B1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428625</xdr:colOff>
      <xdr:row>6</xdr:row>
      <xdr:rowOff>304800</xdr:rowOff>
    </xdr:from>
    <xdr:to>
      <xdr:col>13</xdr:col>
      <xdr:colOff>161925</xdr:colOff>
      <xdr:row>7</xdr:row>
      <xdr:rowOff>47625</xdr:rowOff>
    </xdr:to>
    <xdr:sp>
      <xdr:nvSpPr>
        <xdr:cNvPr id="15" name="Straight Arrow Connector 27"/>
        <xdr:cNvSpPr>
          <a:spLocks/>
        </xdr:cNvSpPr>
      </xdr:nvSpPr>
      <xdr:spPr>
        <a:xfrm>
          <a:off x="6981825" y="1809750"/>
          <a:ext cx="876300" cy="76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571500</xdr:colOff>
      <xdr:row>13</xdr:row>
      <xdr:rowOff>85725</xdr:rowOff>
    </xdr:from>
    <xdr:to>
      <xdr:col>18</xdr:col>
      <xdr:colOff>676275</xdr:colOff>
      <xdr:row>15</xdr:row>
      <xdr:rowOff>9525</xdr:rowOff>
    </xdr:to>
    <xdr:sp>
      <xdr:nvSpPr>
        <xdr:cNvPr id="16" name="Down Arrow 7"/>
        <xdr:cNvSpPr>
          <a:spLocks/>
        </xdr:cNvSpPr>
      </xdr:nvSpPr>
      <xdr:spPr>
        <a:xfrm>
          <a:off x="11896725" y="3295650"/>
          <a:ext cx="104775" cy="381000"/>
        </a:xfrm>
        <a:prstGeom prst="downArrow">
          <a:avLst>
            <a:gd name="adj" fmla="val 3403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31</xdr:row>
      <xdr:rowOff>133350</xdr:rowOff>
    </xdr:from>
    <xdr:to>
      <xdr:col>9</xdr:col>
      <xdr:colOff>95250</xdr:colOff>
      <xdr:row>34</xdr:row>
      <xdr:rowOff>133350</xdr:rowOff>
    </xdr:to>
    <xdr:sp>
      <xdr:nvSpPr>
        <xdr:cNvPr id="17" name="Straight Arrow Connector 24"/>
        <xdr:cNvSpPr>
          <a:spLocks/>
        </xdr:cNvSpPr>
      </xdr:nvSpPr>
      <xdr:spPr>
        <a:xfrm rot="16200000" flipH="1">
          <a:off x="4171950" y="7458075"/>
          <a:ext cx="295275" cy="685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133350</xdr:colOff>
      <xdr:row>1</xdr:row>
      <xdr:rowOff>0</xdr:rowOff>
    </xdr:from>
    <xdr:to>
      <xdr:col>20</xdr:col>
      <xdr:colOff>161925</xdr:colOff>
      <xdr:row>2</xdr:row>
      <xdr:rowOff>200025</xdr:rowOff>
    </xdr:to>
    <xdr:sp>
      <xdr:nvSpPr>
        <xdr:cNvPr id="18" name="Right Arrow 23">
          <a:hlinkClick r:id="rId6"/>
        </xdr:cNvPr>
        <xdr:cNvSpPr>
          <a:spLocks/>
        </xdr:cNvSpPr>
      </xdr:nvSpPr>
      <xdr:spPr>
        <a:xfrm>
          <a:off x="11458575" y="190500"/>
          <a:ext cx="914400" cy="447675"/>
        </a:xfrm>
        <a:prstGeom prst="rightArrow">
          <a:avLst/>
        </a:prstGeom>
        <a:ln w="9525" cmpd="sng">
          <a:solidFill>
            <a:srgbClr val="46AAC5"/>
          </a:solidFill>
          <a:headEnd type="none"/>
          <a:tailEnd type="none"/>
        </a:ln>
      </xdr:spPr>
      <xdr:txBody>
        <a:bodyPr vertOverflow="clip" wrap="square" lIns="18288" tIns="0" rIns="0" bIns="0" anchor="ctr"/>
        <a:p>
          <a:pPr algn="ctr">
            <a:defRPr/>
          </a:pPr>
          <a:r>
            <a:rPr lang="en-US" cap="none" sz="1200" b="1" i="0" u="none" baseline="0">
              <a:solidFill>
                <a:srgbClr val="000000"/>
              </a:solidFill>
            </a:rPr>
            <a:t>Tax Rules</a:t>
          </a:r>
        </a:p>
      </xdr:txBody>
    </xdr:sp>
    <xdr:clientData/>
  </xdr:twoCellAnchor>
  <xdr:twoCellAnchor editAs="oneCell">
    <xdr:from>
      <xdr:col>2</xdr:col>
      <xdr:colOff>180975</xdr:colOff>
      <xdr:row>35</xdr:row>
      <xdr:rowOff>76200</xdr:rowOff>
    </xdr:from>
    <xdr:to>
      <xdr:col>3</xdr:col>
      <xdr:colOff>695325</xdr:colOff>
      <xdr:row>41</xdr:row>
      <xdr:rowOff>219075</xdr:rowOff>
    </xdr:to>
    <xdr:pic>
      <xdr:nvPicPr>
        <xdr:cNvPr id="19" name="Picture 25" descr="CR new photo 2014-09-18 14.16.36.jpg"/>
        <xdr:cNvPicPr preferRelativeResize="1">
          <a:picLocks noChangeAspect="1"/>
        </xdr:cNvPicPr>
      </xdr:nvPicPr>
      <xdr:blipFill>
        <a:blip r:embed="rId7"/>
        <a:stretch>
          <a:fillRect/>
        </a:stretch>
      </xdr:blipFill>
      <xdr:spPr>
        <a:xfrm>
          <a:off x="600075" y="8315325"/>
          <a:ext cx="1419225" cy="1457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352425</xdr:colOff>
      <xdr:row>0</xdr:row>
      <xdr:rowOff>123825</xdr:rowOff>
    </xdr:from>
    <xdr:to>
      <xdr:col>29</xdr:col>
      <xdr:colOff>457200</xdr:colOff>
      <xdr:row>3</xdr:row>
      <xdr:rowOff>57150</xdr:rowOff>
    </xdr:to>
    <xdr:sp>
      <xdr:nvSpPr>
        <xdr:cNvPr id="1" name="Oval Callout 1"/>
        <xdr:cNvSpPr>
          <a:spLocks/>
        </xdr:cNvSpPr>
      </xdr:nvSpPr>
      <xdr:spPr>
        <a:xfrm>
          <a:off x="12296775" y="123825"/>
          <a:ext cx="1990725" cy="533400"/>
        </a:xfrm>
        <a:prstGeom prst="wedgeEllipseCallout">
          <a:avLst>
            <a:gd name="adj1" fmla="val -69361"/>
            <a:gd name="adj2" fmla="val 117097"/>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nchor="ctr"/>
        <a:p>
          <a:pPr algn="ctr">
            <a:defRPr/>
          </a:pPr>
          <a:r>
            <a:rPr lang="en-US" cap="none" sz="1200" b="1" i="0" u="none" baseline="0">
              <a:solidFill>
                <a:srgbClr val="FF0000"/>
              </a:solidFill>
            </a:rPr>
            <a:t>Any changes  in Bill</a:t>
          </a:r>
          <a:r>
            <a:rPr lang="en-US" cap="none" sz="1200" b="1" i="0" u="none" baseline="0">
              <a:solidFill>
                <a:srgbClr val="FF0000"/>
              </a:solidFill>
            </a:rPr>
            <a:t> table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3</xdr:row>
      <xdr:rowOff>171450</xdr:rowOff>
    </xdr:from>
    <xdr:to>
      <xdr:col>14</xdr:col>
      <xdr:colOff>104775</xdr:colOff>
      <xdr:row>6</xdr:row>
      <xdr:rowOff>28575</xdr:rowOff>
    </xdr:to>
    <xdr:sp>
      <xdr:nvSpPr>
        <xdr:cNvPr id="1" name="Oval 1">
          <a:hlinkClick r:id="rId1"/>
        </xdr:cNvPr>
        <xdr:cNvSpPr>
          <a:spLocks/>
        </xdr:cNvSpPr>
      </xdr:nvSpPr>
      <xdr:spPr>
        <a:xfrm>
          <a:off x="7791450" y="800100"/>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5</xdr:row>
      <xdr:rowOff>47625</xdr:rowOff>
    </xdr:from>
    <xdr:to>
      <xdr:col>13</xdr:col>
      <xdr:colOff>657225</xdr:colOff>
      <xdr:row>7</xdr:row>
      <xdr:rowOff>104775</xdr:rowOff>
    </xdr:to>
    <xdr:sp>
      <xdr:nvSpPr>
        <xdr:cNvPr id="1" name="Oval 1">
          <a:hlinkClick r:id="rId1"/>
        </xdr:cNvPr>
        <xdr:cNvSpPr>
          <a:spLocks/>
        </xdr:cNvSpPr>
      </xdr:nvSpPr>
      <xdr:spPr>
        <a:xfrm>
          <a:off x="7362825" y="1228725"/>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5</xdr:row>
      <xdr:rowOff>161925</xdr:rowOff>
    </xdr:from>
    <xdr:to>
      <xdr:col>15</xdr:col>
      <xdr:colOff>38100</xdr:colOff>
      <xdr:row>8</xdr:row>
      <xdr:rowOff>47625</xdr:rowOff>
    </xdr:to>
    <xdr:sp>
      <xdr:nvSpPr>
        <xdr:cNvPr id="1" name="Oval 1">
          <a:hlinkClick r:id="rId1"/>
        </xdr:cNvPr>
        <xdr:cNvSpPr>
          <a:spLocks/>
        </xdr:cNvSpPr>
      </xdr:nvSpPr>
      <xdr:spPr>
        <a:xfrm>
          <a:off x="7419975" y="1123950"/>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12</xdr:row>
      <xdr:rowOff>152400</xdr:rowOff>
    </xdr:from>
    <xdr:to>
      <xdr:col>16</xdr:col>
      <xdr:colOff>219075</xdr:colOff>
      <xdr:row>17</xdr:row>
      <xdr:rowOff>0</xdr:rowOff>
    </xdr:to>
    <xdr:sp>
      <xdr:nvSpPr>
        <xdr:cNvPr id="1" name="Left Arrow 1">
          <a:hlinkClick r:id="rId1"/>
        </xdr:cNvPr>
        <xdr:cNvSpPr>
          <a:spLocks/>
        </xdr:cNvSpPr>
      </xdr:nvSpPr>
      <xdr:spPr>
        <a:xfrm>
          <a:off x="7886700" y="2752725"/>
          <a:ext cx="1238250" cy="800100"/>
        </a:xfrm>
        <a:prstGeom prst="leftArrow">
          <a:avLst>
            <a:gd name="adj" fmla="val -17694"/>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46AAC5"/>
          </a:solidFill>
          <a:headEnd type="none"/>
          <a:tailEnd type="none"/>
        </a:ln>
      </xdr:spPr>
      <xdr:txBody>
        <a:bodyPr vertOverflow="clip" wrap="square" lIns="18288" tIns="0" rIns="0" bIns="0" anchor="ctr"/>
        <a:p>
          <a:pPr algn="ctr">
            <a:defRPr/>
          </a:pPr>
          <a:r>
            <a:rPr lang="en-US" cap="none" sz="1100" b="1" i="0" u="none" baseline="0"/>
            <a:t>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ramanji.webnode.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2:S133"/>
  <sheetViews>
    <sheetView showGridLines="0" showRowColHeaders="0" zoomScalePageLayoutView="0" workbookViewId="0" topLeftCell="A1">
      <selection activeCell="A15" sqref="A15"/>
    </sheetView>
  </sheetViews>
  <sheetFormatPr defaultColWidth="0" defaultRowHeight="12.75" customHeight="1" zeroHeight="1"/>
  <cols>
    <col min="1" max="1" width="4.57421875" style="572" customWidth="1"/>
    <col min="2" max="2" width="5.57421875" style="573" customWidth="1"/>
    <col min="3" max="3" width="133.8515625" style="572" customWidth="1"/>
    <col min="4" max="19" width="0" style="574" hidden="1" customWidth="1"/>
    <col min="20" max="16384" width="0" style="0" hidden="1" customWidth="1"/>
  </cols>
  <sheetData>
    <row r="1" ht="17.25" customHeight="1" thickBot="1"/>
    <row r="2" spans="2:5" ht="45" customHeight="1" thickBot="1">
      <c r="B2" s="860" t="s">
        <v>631</v>
      </c>
      <c r="C2" s="861"/>
      <c r="D2" s="575"/>
      <c r="E2" s="576"/>
    </row>
    <row r="3" spans="1:19" s="864" customFormat="1" ht="20.25" customHeight="1">
      <c r="A3" s="572"/>
      <c r="B3" s="862" t="s">
        <v>632</v>
      </c>
      <c r="C3" s="863"/>
      <c r="D3" s="863"/>
      <c r="E3" s="863"/>
      <c r="F3" s="863"/>
      <c r="G3" s="863"/>
      <c r="H3" s="863"/>
      <c r="I3" s="863"/>
      <c r="J3" s="863"/>
      <c r="K3" s="863"/>
      <c r="L3" s="863"/>
      <c r="M3" s="863"/>
      <c r="N3" s="863"/>
      <c r="O3" s="863"/>
      <c r="P3" s="863"/>
      <c r="Q3" s="863"/>
      <c r="R3" s="863"/>
      <c r="S3" s="863"/>
    </row>
    <row r="4" spans="2:5" ht="21.75" customHeight="1">
      <c r="B4" s="865" t="s">
        <v>633</v>
      </c>
      <c r="C4" s="866"/>
      <c r="D4" s="577"/>
      <c r="E4" s="576"/>
    </row>
    <row r="5" spans="2:3" ht="14.25" customHeight="1">
      <c r="B5" s="578"/>
      <c r="C5" s="579" t="s">
        <v>634</v>
      </c>
    </row>
    <row r="6" spans="2:3" ht="14.25" customHeight="1">
      <c r="B6" s="580">
        <v>1</v>
      </c>
      <c r="C6" s="585" t="s">
        <v>635</v>
      </c>
    </row>
    <row r="7" spans="1:19" s="584" customFormat="1" ht="14.25" customHeight="1" hidden="1">
      <c r="A7" s="581"/>
      <c r="B7" s="580">
        <v>2</v>
      </c>
      <c r="C7" s="582" t="s">
        <v>636</v>
      </c>
      <c r="D7" s="583"/>
      <c r="E7" s="583"/>
      <c r="F7" s="583"/>
      <c r="G7" s="583"/>
      <c r="H7" s="583"/>
      <c r="I7" s="583"/>
      <c r="J7" s="583"/>
      <c r="K7" s="583"/>
      <c r="L7" s="583"/>
      <c r="M7" s="583"/>
      <c r="N7" s="583"/>
      <c r="O7" s="583"/>
      <c r="P7" s="583"/>
      <c r="Q7" s="583"/>
      <c r="R7" s="583"/>
      <c r="S7" s="583"/>
    </row>
    <row r="8" spans="2:3" ht="15" customHeight="1">
      <c r="B8" s="580">
        <v>2</v>
      </c>
      <c r="C8" s="585" t="s">
        <v>637</v>
      </c>
    </row>
    <row r="9" spans="2:3" ht="25.5" customHeight="1">
      <c r="B9" s="580"/>
      <c r="C9" s="585"/>
    </row>
    <row r="10" spans="2:3" ht="14.25" customHeight="1">
      <c r="B10" s="580"/>
      <c r="C10" s="586" t="s">
        <v>638</v>
      </c>
    </row>
    <row r="11" spans="2:3" ht="14.25" customHeight="1">
      <c r="B11" s="580" t="s">
        <v>639</v>
      </c>
      <c r="C11" s="585" t="s">
        <v>640</v>
      </c>
    </row>
    <row r="12" spans="2:3" ht="14.25" customHeight="1">
      <c r="B12" s="580" t="s">
        <v>641</v>
      </c>
      <c r="C12" s="585" t="s">
        <v>642</v>
      </c>
    </row>
    <row r="13" spans="2:3" ht="14.25" customHeight="1">
      <c r="B13" s="580" t="s">
        <v>643</v>
      </c>
      <c r="C13" s="585" t="s">
        <v>644</v>
      </c>
    </row>
    <row r="14" spans="2:3" ht="14.25" customHeight="1" hidden="1">
      <c r="B14" s="580" t="s">
        <v>645</v>
      </c>
      <c r="C14" s="582" t="s">
        <v>646</v>
      </c>
    </row>
    <row r="15" spans="2:3" ht="14.25" customHeight="1">
      <c r="B15" s="580" t="s">
        <v>645</v>
      </c>
      <c r="C15" s="585" t="s">
        <v>647</v>
      </c>
    </row>
    <row r="16" spans="2:3" ht="14.25" customHeight="1">
      <c r="B16" s="580" t="s">
        <v>648</v>
      </c>
      <c r="C16" s="585" t="s">
        <v>649</v>
      </c>
    </row>
    <row r="17" spans="1:19" s="589" customFormat="1" ht="14.25" customHeight="1">
      <c r="A17" s="587"/>
      <c r="B17" s="580" t="s">
        <v>650</v>
      </c>
      <c r="C17" s="585" t="s">
        <v>651</v>
      </c>
      <c r="D17" s="588"/>
      <c r="E17" s="588"/>
      <c r="F17" s="588"/>
      <c r="G17" s="588"/>
      <c r="H17" s="588"/>
      <c r="I17" s="588"/>
      <c r="J17" s="588"/>
      <c r="K17" s="588"/>
      <c r="L17" s="588"/>
      <c r="M17" s="588"/>
      <c r="N17" s="588"/>
      <c r="O17" s="588"/>
      <c r="P17" s="588"/>
      <c r="Q17" s="588"/>
      <c r="R17" s="588"/>
      <c r="S17" s="588"/>
    </row>
    <row r="18" spans="2:3" ht="14.25" customHeight="1">
      <c r="B18" s="580" t="s">
        <v>652</v>
      </c>
      <c r="C18" s="585" t="s">
        <v>653</v>
      </c>
    </row>
    <row r="19" spans="2:3" ht="14.25" customHeight="1">
      <c r="B19" s="580" t="s">
        <v>654</v>
      </c>
      <c r="C19" s="585" t="s">
        <v>655</v>
      </c>
    </row>
    <row r="20" spans="2:3" ht="14.25" customHeight="1">
      <c r="B20" s="580" t="s">
        <v>412</v>
      </c>
      <c r="C20" s="585" t="s">
        <v>656</v>
      </c>
    </row>
    <row r="21" spans="2:3" ht="14.25" customHeight="1">
      <c r="B21" s="580" t="s">
        <v>657</v>
      </c>
      <c r="C21" s="585" t="s">
        <v>658</v>
      </c>
    </row>
    <row r="22" spans="2:3" ht="14.25" customHeight="1">
      <c r="B22" s="580" t="s">
        <v>659</v>
      </c>
      <c r="C22" s="585" t="s">
        <v>660</v>
      </c>
    </row>
    <row r="23" spans="2:3" ht="14.25" customHeight="1">
      <c r="B23" s="580" t="s">
        <v>661</v>
      </c>
      <c r="C23" s="585" t="s">
        <v>662</v>
      </c>
    </row>
    <row r="24" spans="2:3" ht="14.25" customHeight="1">
      <c r="B24" s="580" t="s">
        <v>663</v>
      </c>
      <c r="C24" s="585" t="s">
        <v>664</v>
      </c>
    </row>
    <row r="25" spans="2:3" ht="14.25" customHeight="1">
      <c r="B25" s="580" t="s">
        <v>665</v>
      </c>
      <c r="C25" s="585" t="s">
        <v>666</v>
      </c>
    </row>
    <row r="26" spans="2:3" ht="14.25" customHeight="1">
      <c r="B26" s="580"/>
      <c r="C26" s="590" t="s">
        <v>667</v>
      </c>
    </row>
    <row r="27" spans="2:3" ht="14.25" customHeight="1">
      <c r="B27" s="580" t="s">
        <v>668</v>
      </c>
      <c r="C27" s="585" t="s">
        <v>669</v>
      </c>
    </row>
    <row r="28" spans="2:3" ht="14.25" customHeight="1">
      <c r="B28" s="580" t="s">
        <v>670</v>
      </c>
      <c r="C28" s="585" t="s">
        <v>671</v>
      </c>
    </row>
    <row r="29" spans="2:3" ht="14.25" customHeight="1">
      <c r="B29" s="580" t="s">
        <v>672</v>
      </c>
      <c r="C29" s="585" t="s">
        <v>673</v>
      </c>
    </row>
    <row r="30" spans="2:3" ht="14.25" customHeight="1">
      <c r="B30" s="580" t="s">
        <v>674</v>
      </c>
      <c r="C30" s="585" t="s">
        <v>675</v>
      </c>
    </row>
    <row r="31" spans="2:3" ht="14.25" customHeight="1">
      <c r="B31" s="580" t="s">
        <v>676</v>
      </c>
      <c r="C31" s="585" t="s">
        <v>677</v>
      </c>
    </row>
    <row r="32" spans="2:3" ht="14.25" customHeight="1">
      <c r="B32" s="580" t="s">
        <v>678</v>
      </c>
      <c r="C32" s="585" t="s">
        <v>679</v>
      </c>
    </row>
    <row r="33" spans="2:3" ht="14.25" customHeight="1">
      <c r="B33" s="580" t="s">
        <v>680</v>
      </c>
      <c r="C33" s="585" t="s">
        <v>681</v>
      </c>
    </row>
    <row r="34" spans="2:3" ht="14.25" customHeight="1">
      <c r="B34" s="580" t="s">
        <v>682</v>
      </c>
      <c r="C34" s="585" t="s">
        <v>683</v>
      </c>
    </row>
    <row r="35" spans="2:3" ht="14.25" customHeight="1">
      <c r="B35" s="580" t="s">
        <v>402</v>
      </c>
      <c r="C35" s="585" t="s">
        <v>684</v>
      </c>
    </row>
    <row r="36" spans="2:3" ht="14.25" customHeight="1">
      <c r="B36" s="580" t="s">
        <v>685</v>
      </c>
      <c r="C36" s="585" t="s">
        <v>686</v>
      </c>
    </row>
    <row r="37" spans="2:3" ht="14.25" customHeight="1">
      <c r="B37" s="580" t="s">
        <v>687</v>
      </c>
      <c r="C37" s="585" t="s">
        <v>688</v>
      </c>
    </row>
    <row r="38" spans="2:3" ht="14.25" customHeight="1">
      <c r="B38" s="580" t="s">
        <v>689</v>
      </c>
      <c r="C38" s="585" t="s">
        <v>690</v>
      </c>
    </row>
    <row r="39" spans="2:3" ht="14.25" customHeight="1">
      <c r="B39" s="580" t="s">
        <v>691</v>
      </c>
      <c r="C39" s="585" t="s">
        <v>692</v>
      </c>
    </row>
    <row r="40" spans="2:3" ht="14.25" customHeight="1" hidden="1">
      <c r="B40" s="580">
        <v>6</v>
      </c>
      <c r="C40" s="582" t="s">
        <v>693</v>
      </c>
    </row>
    <row r="41" spans="2:3" ht="17.25" customHeight="1" thickBot="1">
      <c r="B41" s="580"/>
      <c r="C41" s="591" t="s">
        <v>694</v>
      </c>
    </row>
    <row r="42" spans="2:3" ht="14.25" customHeight="1">
      <c r="B42" s="580"/>
      <c r="C42" s="592" t="s">
        <v>695</v>
      </c>
    </row>
    <row r="43" spans="2:3" ht="14.25" customHeight="1">
      <c r="B43" s="580"/>
      <c r="C43" s="593" t="s">
        <v>696</v>
      </c>
    </row>
    <row r="44" spans="2:3" ht="14.25" customHeight="1">
      <c r="B44" s="580"/>
      <c r="C44" s="594" t="s">
        <v>697</v>
      </c>
    </row>
    <row r="45" spans="2:3" ht="14.25" customHeight="1">
      <c r="B45" s="580"/>
      <c r="C45" s="594" t="s">
        <v>698</v>
      </c>
    </row>
    <row r="46" spans="2:3" ht="14.25" customHeight="1">
      <c r="B46" s="580"/>
      <c r="C46" s="594" t="s">
        <v>699</v>
      </c>
    </row>
    <row r="47" spans="2:3" ht="14.25" customHeight="1">
      <c r="B47" s="580"/>
      <c r="C47" s="594" t="s">
        <v>700</v>
      </c>
    </row>
    <row r="48" spans="2:3" ht="14.25" customHeight="1">
      <c r="B48" s="580"/>
      <c r="C48" s="595" t="s">
        <v>701</v>
      </c>
    </row>
    <row r="49" spans="2:3" ht="14.25" customHeight="1">
      <c r="B49" s="580"/>
      <c r="C49" s="596" t="s">
        <v>702</v>
      </c>
    </row>
    <row r="50" spans="2:3" ht="14.25" customHeight="1">
      <c r="B50" s="580"/>
      <c r="C50" s="597" t="s">
        <v>703</v>
      </c>
    </row>
    <row r="51" spans="2:3" ht="14.25" customHeight="1">
      <c r="B51" s="580"/>
      <c r="C51" s="594" t="s">
        <v>704</v>
      </c>
    </row>
    <row r="52" spans="2:3" ht="14.25" customHeight="1">
      <c r="B52" s="580"/>
      <c r="C52" s="598" t="s">
        <v>705</v>
      </c>
    </row>
    <row r="53" spans="2:3" ht="14.25" customHeight="1">
      <c r="B53" s="580"/>
      <c r="C53" s="594" t="s">
        <v>706</v>
      </c>
    </row>
    <row r="54" spans="2:3" ht="14.25" customHeight="1">
      <c r="B54" s="580"/>
      <c r="C54" s="594" t="s">
        <v>707</v>
      </c>
    </row>
    <row r="55" spans="2:3" ht="14.25" customHeight="1">
      <c r="B55" s="580"/>
      <c r="C55" s="599" t="s">
        <v>708</v>
      </c>
    </row>
    <row r="56" spans="2:3" ht="14.25" customHeight="1">
      <c r="B56" s="580"/>
      <c r="C56" s="600" t="s">
        <v>709</v>
      </c>
    </row>
    <row r="57" spans="2:3" ht="14.25" customHeight="1">
      <c r="B57" s="580"/>
      <c r="C57" s="601" t="s">
        <v>703</v>
      </c>
    </row>
    <row r="58" spans="2:3" ht="14.25" customHeight="1">
      <c r="B58" s="580"/>
      <c r="C58" s="594" t="s">
        <v>710</v>
      </c>
    </row>
    <row r="59" spans="2:3" ht="14.25" customHeight="1">
      <c r="B59" s="580"/>
      <c r="C59" s="594" t="s">
        <v>711</v>
      </c>
    </row>
    <row r="60" spans="2:3" ht="14.25" customHeight="1" thickBot="1">
      <c r="B60" s="580"/>
      <c r="C60" s="602" t="s">
        <v>712</v>
      </c>
    </row>
    <row r="61" spans="2:3" ht="14.25" customHeight="1" thickBot="1">
      <c r="B61" s="580"/>
      <c r="C61" s="603" t="s">
        <v>713</v>
      </c>
    </row>
    <row r="62" ht="15" customHeight="1">
      <c r="C62" s="604" t="s">
        <v>714</v>
      </c>
    </row>
    <row r="63" spans="2:3" ht="12" customHeight="1">
      <c r="B63" s="605"/>
      <c r="C63" s="572" t="s">
        <v>715</v>
      </c>
    </row>
    <row r="64" spans="1:19" s="609" customFormat="1" ht="87.75" customHeight="1">
      <c r="A64" s="606"/>
      <c r="B64" s="573"/>
      <c r="C64" s="607" t="s">
        <v>716</v>
      </c>
      <c r="D64" s="608"/>
      <c r="E64" s="608"/>
      <c r="F64" s="608"/>
      <c r="G64" s="608"/>
      <c r="H64" s="608"/>
      <c r="I64" s="608"/>
      <c r="J64" s="608"/>
      <c r="K64" s="608"/>
      <c r="L64" s="608"/>
      <c r="M64" s="608"/>
      <c r="N64" s="608"/>
      <c r="O64" s="608"/>
      <c r="P64" s="608"/>
      <c r="Q64" s="608"/>
      <c r="R64" s="608"/>
      <c r="S64" s="608"/>
    </row>
    <row r="65" spans="2:3" ht="52.5" customHeight="1">
      <c r="B65" s="610"/>
      <c r="C65" s="611" t="s">
        <v>717</v>
      </c>
    </row>
    <row r="66" spans="2:3" ht="12.75" hidden="1">
      <c r="B66" s="612"/>
      <c r="C66" s="613" t="s">
        <v>718</v>
      </c>
    </row>
    <row r="67" spans="2:3" ht="36" hidden="1">
      <c r="B67" s="614"/>
      <c r="C67" s="615" t="s">
        <v>719</v>
      </c>
    </row>
    <row r="68" spans="2:3" ht="12.75" hidden="1">
      <c r="B68" s="616"/>
      <c r="C68" s="617" t="s">
        <v>720</v>
      </c>
    </row>
    <row r="69" spans="2:3" ht="12.75" hidden="1">
      <c r="B69" s="618"/>
      <c r="C69" s="619" t="s">
        <v>721</v>
      </c>
    </row>
    <row r="70" spans="2:3" ht="12.75" hidden="1">
      <c r="B70" s="620"/>
      <c r="C70" s="619" t="s">
        <v>722</v>
      </c>
    </row>
    <row r="71" spans="2:3" ht="12.75" hidden="1">
      <c r="B71" s="620"/>
      <c r="C71" s="619" t="s">
        <v>723</v>
      </c>
    </row>
    <row r="72" spans="2:3" ht="12.75" hidden="1">
      <c r="B72" s="621"/>
      <c r="C72" s="622" t="s">
        <v>724</v>
      </c>
    </row>
    <row r="73" spans="2:3" ht="12.75" hidden="1">
      <c r="B73" s="618"/>
      <c r="C73" s="623" t="s">
        <v>725</v>
      </c>
    </row>
    <row r="74" ht="14.25" customHeight="1" hidden="1">
      <c r="C74" s="624" t="s">
        <v>726</v>
      </c>
    </row>
    <row r="75" spans="2:3" ht="27" customHeight="1" hidden="1">
      <c r="B75" s="625"/>
      <c r="C75" s="626" t="s">
        <v>727</v>
      </c>
    </row>
    <row r="76" spans="2:3" ht="15" customHeight="1">
      <c r="B76" s="627"/>
      <c r="C76" s="628" t="s">
        <v>728</v>
      </c>
    </row>
    <row r="77" spans="2:3" ht="16.5" customHeight="1">
      <c r="B77" s="629" t="s">
        <v>639</v>
      </c>
      <c r="C77" s="630" t="s">
        <v>729</v>
      </c>
    </row>
    <row r="78" spans="2:3" ht="24">
      <c r="B78" s="631" t="s">
        <v>641</v>
      </c>
      <c r="C78" s="632" t="s">
        <v>730</v>
      </c>
    </row>
    <row r="79" spans="2:3" ht="17.25" customHeight="1">
      <c r="B79" s="631" t="s">
        <v>643</v>
      </c>
      <c r="C79" s="632" t="s">
        <v>731</v>
      </c>
    </row>
    <row r="80" spans="2:3" ht="27" customHeight="1" hidden="1">
      <c r="B80" s="631" t="s">
        <v>645</v>
      </c>
      <c r="C80" s="632" t="s">
        <v>732</v>
      </c>
    </row>
    <row r="81" spans="2:3" ht="39" customHeight="1">
      <c r="B81" s="631" t="s">
        <v>733</v>
      </c>
      <c r="C81" s="633" t="s">
        <v>734</v>
      </c>
    </row>
    <row r="82" spans="2:3" ht="18" customHeight="1">
      <c r="B82" s="631" t="s">
        <v>735</v>
      </c>
      <c r="C82" s="632" t="s">
        <v>736</v>
      </c>
    </row>
    <row r="83" spans="2:3" ht="41.25" customHeight="1">
      <c r="B83" s="631" t="s">
        <v>648</v>
      </c>
      <c r="C83" s="634" t="s">
        <v>737</v>
      </c>
    </row>
    <row r="84" spans="2:3" ht="35.25" customHeight="1">
      <c r="B84" s="635" t="s">
        <v>650</v>
      </c>
      <c r="C84" s="636" t="s">
        <v>738</v>
      </c>
    </row>
    <row r="85" spans="2:3" ht="41.25" customHeight="1">
      <c r="B85" s="631" t="s">
        <v>652</v>
      </c>
      <c r="C85" s="637" t="s">
        <v>739</v>
      </c>
    </row>
    <row r="86" spans="2:3" ht="36.75" customHeight="1">
      <c r="B86" s="631" t="s">
        <v>654</v>
      </c>
      <c r="C86" s="633" t="s">
        <v>740</v>
      </c>
    </row>
    <row r="87" spans="2:3" ht="24.75" customHeight="1">
      <c r="B87" s="631" t="s">
        <v>412</v>
      </c>
      <c r="C87" s="633" t="s">
        <v>741</v>
      </c>
    </row>
    <row r="88" spans="1:19" s="641" customFormat="1" ht="64.5" customHeight="1">
      <c r="A88" s="638"/>
      <c r="B88" s="631" t="s">
        <v>657</v>
      </c>
      <c r="C88" s="639" t="s">
        <v>742</v>
      </c>
      <c r="D88" s="640"/>
      <c r="E88" s="640"/>
      <c r="F88" s="640"/>
      <c r="G88" s="640"/>
      <c r="H88" s="640"/>
      <c r="I88" s="640"/>
      <c r="J88" s="640"/>
      <c r="K88" s="640"/>
      <c r="L88" s="640"/>
      <c r="M88" s="640"/>
      <c r="N88" s="640"/>
      <c r="O88" s="640"/>
      <c r="P88" s="640"/>
      <c r="Q88" s="640"/>
      <c r="R88" s="640"/>
      <c r="S88" s="640"/>
    </row>
    <row r="89" spans="2:3" ht="18" customHeight="1">
      <c r="B89" s="631" t="s">
        <v>659</v>
      </c>
      <c r="C89" s="633" t="s">
        <v>743</v>
      </c>
    </row>
    <row r="90" spans="2:3" ht="15" customHeight="1">
      <c r="B90" s="631" t="s">
        <v>661</v>
      </c>
      <c r="C90" s="642" t="s">
        <v>744</v>
      </c>
    </row>
    <row r="91" spans="2:3" ht="25.5" customHeight="1">
      <c r="B91" s="643" t="s">
        <v>663</v>
      </c>
      <c r="C91" s="642" t="s">
        <v>745</v>
      </c>
    </row>
    <row r="92" spans="2:3" ht="25.5" customHeight="1">
      <c r="B92" s="621" t="s">
        <v>665</v>
      </c>
      <c r="C92" s="644" t="s">
        <v>746</v>
      </c>
    </row>
    <row r="93" spans="2:3" ht="16.5" customHeight="1">
      <c r="B93" s="621" t="s">
        <v>747</v>
      </c>
      <c r="C93" s="645" t="s">
        <v>748</v>
      </c>
    </row>
    <row r="94" spans="2:3" ht="25.5" customHeight="1">
      <c r="B94" s="646"/>
      <c r="C94" s="647" t="s">
        <v>749</v>
      </c>
    </row>
    <row r="95" spans="2:3" ht="82.5" customHeight="1">
      <c r="B95" s="648"/>
      <c r="C95" s="649" t="s">
        <v>750</v>
      </c>
    </row>
    <row r="96" spans="2:3" ht="21" customHeight="1">
      <c r="B96" s="650"/>
      <c r="C96" s="651" t="s">
        <v>751</v>
      </c>
    </row>
    <row r="97" spans="2:3" ht="27.75" customHeight="1">
      <c r="B97" s="652" t="s">
        <v>668</v>
      </c>
      <c r="C97" s="653" t="s">
        <v>752</v>
      </c>
    </row>
    <row r="98" spans="2:3" ht="90.75" customHeight="1">
      <c r="B98" s="646" t="s">
        <v>670</v>
      </c>
      <c r="C98" s="654" t="s">
        <v>753</v>
      </c>
    </row>
    <row r="99" spans="2:3" ht="31.5" customHeight="1">
      <c r="B99" s="646" t="s">
        <v>672</v>
      </c>
      <c r="C99" s="653" t="s">
        <v>754</v>
      </c>
    </row>
    <row r="100" spans="2:3" ht="41.25" customHeight="1">
      <c r="B100" s="652" t="s">
        <v>674</v>
      </c>
      <c r="C100" s="655" t="s">
        <v>755</v>
      </c>
    </row>
    <row r="101" spans="2:3" ht="68.25" customHeight="1">
      <c r="B101" s="612" t="s">
        <v>676</v>
      </c>
      <c r="C101" s="654" t="s">
        <v>756</v>
      </c>
    </row>
    <row r="102" spans="2:3" ht="30.75" customHeight="1">
      <c r="B102" s="612" t="s">
        <v>678</v>
      </c>
      <c r="C102" s="656" t="s">
        <v>757</v>
      </c>
    </row>
    <row r="103" spans="2:3" ht="27.75" customHeight="1">
      <c r="B103" s="612" t="s">
        <v>680</v>
      </c>
      <c r="C103" s="654" t="s">
        <v>758</v>
      </c>
    </row>
    <row r="104" spans="2:3" ht="54.75" customHeight="1">
      <c r="B104" s="610" t="s">
        <v>682</v>
      </c>
      <c r="C104" s="653" t="s">
        <v>759</v>
      </c>
    </row>
    <row r="105" spans="2:3" ht="54" customHeight="1">
      <c r="B105" s="610" t="s">
        <v>402</v>
      </c>
      <c r="C105" s="657" t="s">
        <v>760</v>
      </c>
    </row>
    <row r="106" spans="2:3" ht="57" customHeight="1">
      <c r="B106" s="658" t="s">
        <v>685</v>
      </c>
      <c r="C106" s="659" t="s">
        <v>761</v>
      </c>
    </row>
    <row r="107" spans="2:3" ht="54" customHeight="1">
      <c r="B107" s="660" t="s">
        <v>687</v>
      </c>
      <c r="C107" s="661" t="s">
        <v>762</v>
      </c>
    </row>
    <row r="108" spans="2:3" ht="12.75" hidden="1">
      <c r="B108" s="662"/>
      <c r="C108" s="663" t="s">
        <v>693</v>
      </c>
    </row>
    <row r="109" ht="81" customHeight="1" hidden="1">
      <c r="C109" s="664" t="s">
        <v>763</v>
      </c>
    </row>
    <row r="110" spans="1:3" s="574" customFormat="1" ht="12.75" hidden="1">
      <c r="A110" s="665"/>
      <c r="B110" s="666"/>
      <c r="C110" s="667" t="s">
        <v>764</v>
      </c>
    </row>
    <row r="111" spans="1:3" s="574" customFormat="1" ht="12.75" hidden="1">
      <c r="A111" s="665"/>
      <c r="B111" s="666"/>
      <c r="C111" s="668" t="s">
        <v>765</v>
      </c>
    </row>
    <row r="112" spans="1:3" s="671" customFormat="1" ht="12.75" hidden="1">
      <c r="A112" s="669"/>
      <c r="B112" s="670"/>
      <c r="C112" s="669"/>
    </row>
    <row r="113" spans="1:3" s="671" customFormat="1" ht="12.75" hidden="1">
      <c r="A113" s="669"/>
      <c r="B113" s="670"/>
      <c r="C113" s="669"/>
    </row>
    <row r="114" spans="1:3" s="671" customFormat="1" ht="12.75" hidden="1">
      <c r="A114" s="669"/>
      <c r="B114" s="670"/>
      <c r="C114" s="669"/>
    </row>
    <row r="115" spans="1:3" s="671" customFormat="1" ht="12.75" hidden="1">
      <c r="A115" s="669"/>
      <c r="B115" s="670"/>
      <c r="C115" s="669"/>
    </row>
    <row r="116" spans="1:3" s="671" customFormat="1" ht="12.75" hidden="1">
      <c r="A116" s="669"/>
      <c r="B116" s="670"/>
      <c r="C116" s="669"/>
    </row>
    <row r="117" spans="1:3" s="671" customFormat="1" ht="12.75" hidden="1">
      <c r="A117" s="669"/>
      <c r="B117" s="670"/>
      <c r="C117" s="669"/>
    </row>
    <row r="118" spans="1:3" s="671" customFormat="1" ht="12.75" hidden="1">
      <c r="A118" s="669"/>
      <c r="B118" s="670"/>
      <c r="C118" s="669"/>
    </row>
    <row r="119" spans="1:3" s="671" customFormat="1" ht="12.75" hidden="1">
      <c r="A119" s="669"/>
      <c r="B119" s="670"/>
      <c r="C119" s="669"/>
    </row>
    <row r="120" spans="1:3" s="671" customFormat="1" ht="12.75" hidden="1">
      <c r="A120" s="669"/>
      <c r="B120" s="670"/>
      <c r="C120" s="669"/>
    </row>
    <row r="121" spans="1:3" s="671" customFormat="1" ht="12.75" hidden="1">
      <c r="A121" s="669"/>
      <c r="B121" s="670"/>
      <c r="C121" s="669"/>
    </row>
    <row r="122" spans="1:3" s="671" customFormat="1" ht="12.75" hidden="1">
      <c r="A122" s="669"/>
      <c r="B122" s="670"/>
      <c r="C122" s="669"/>
    </row>
    <row r="123" spans="1:3" s="671" customFormat="1" ht="12.75" hidden="1">
      <c r="A123" s="669"/>
      <c r="B123" s="670"/>
      <c r="C123" s="669"/>
    </row>
    <row r="124" spans="1:3" s="671" customFormat="1" ht="12.75" hidden="1">
      <c r="A124" s="669"/>
      <c r="B124" s="670"/>
      <c r="C124" s="669"/>
    </row>
    <row r="125" spans="1:3" s="671" customFormat="1" ht="12.75" hidden="1">
      <c r="A125" s="669"/>
      <c r="B125" s="670"/>
      <c r="C125" s="669"/>
    </row>
    <row r="126" spans="1:3" s="671" customFormat="1" ht="12.75" hidden="1">
      <c r="A126" s="669"/>
      <c r="B126" s="670"/>
      <c r="C126" s="669"/>
    </row>
    <row r="127" spans="1:3" s="671" customFormat="1" ht="12.75" hidden="1">
      <c r="A127" s="669"/>
      <c r="B127" s="670"/>
      <c r="C127" s="669"/>
    </row>
    <row r="128" spans="1:3" s="671" customFormat="1" ht="12.75" hidden="1">
      <c r="A128" s="669"/>
      <c r="B128" s="670"/>
      <c r="C128" s="669"/>
    </row>
    <row r="129" spans="1:3" s="671" customFormat="1" ht="12.75" hidden="1">
      <c r="A129" s="669"/>
      <c r="B129" s="670"/>
      <c r="C129" s="669"/>
    </row>
    <row r="130" spans="1:3" s="671" customFormat="1" ht="12.75" hidden="1">
      <c r="A130" s="669"/>
      <c r="B130" s="670"/>
      <c r="C130" s="669"/>
    </row>
    <row r="131" spans="1:3" s="671" customFormat="1" ht="12.75" hidden="1">
      <c r="A131" s="669"/>
      <c r="B131" s="670"/>
      <c r="C131" s="669"/>
    </row>
    <row r="132" ht="12.75" hidden="1"/>
    <row r="133" ht="12.75" hidden="1">
      <c r="C133" s="672"/>
    </row>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sheetData>
  <sheetProtection password="DE92" sheet="1" objects="1" scenarios="1"/>
  <mergeCells count="3">
    <mergeCell ref="B2:C2"/>
    <mergeCell ref="B3:IV3"/>
    <mergeCell ref="B4:C4"/>
  </mergeCells>
  <hyperlinks>
    <hyperlink ref="C8" location="'Tax rules'!B60:B62" display="Some Exempted Income ( to be shown while Return filing) "/>
    <hyperlink ref="C11" location="'Tax rules'!C77" display="HRA exemption "/>
    <hyperlink ref="C12" location="'Tax rules'!B78" display="Transport allowance"/>
    <hyperlink ref="C13" location="'Tax rules'!B79" display="Reimbursement of Medical bills "/>
    <hyperlink ref="C14" location="'Information &amp; Rules exmpt,Ded'!B85" display=" u/s(5) LTA is exempt "/>
    <hyperlink ref="C15" location="'Tax rules'!B80:B82" display=" u/s 24  Exemption for interest on housing loan."/>
    <hyperlink ref="C16" location="'Tax rules'!B84" display="u/s 80CCE  &amp; 80CCD Maximum Exemption "/>
    <hyperlink ref="C18" location="'Tax rules'!B86" display="u/s 80D Medical Insurance"/>
    <hyperlink ref="C19" location="'Tax rules'!B87" display="u/s 80DD Deduction in respect of medical treatment of handicapped dependents"/>
    <hyperlink ref="C20" location="'Tax rules'!B88" display="u/s 80DDB Deduction in respect of medical treatment for specified ailments or diseases"/>
    <hyperlink ref="C21" location="'Tax rules'!B89" display="u/s 80E Interest repayment on education loan "/>
    <hyperlink ref="C22" location="'Tax rules'!B90" display="u/s 80G Donations given for certain charities "/>
    <hyperlink ref="C23" location="'Tax rules'!B91" display="u/s 80GG If you are not getting  HRA,  but living in rented house,"/>
    <hyperlink ref="C24" location="'Tax rules'!B92" display="u/s 80U If you have a permanent physical disability "/>
    <hyperlink ref="C26" location="Instructions!B92" display=" KNOW MORE about DEDUCTION under Section 80-C"/>
    <hyperlink ref="C27" location="'Tax rules'!AB93" display="Qualifying Investments u/s 80CCE"/>
    <hyperlink ref="C28" location="'Tax rules'!B97" display="Provident Fund (PF) &amp; Voluntary Provident Fund (VPF) "/>
    <hyperlink ref="C29" location="'Tax rules'!B98" display="Life Insurance Premiums &amp; Unit linked Insurance Plan (ULIP)"/>
    <hyperlink ref="C30" location="'Tax rules'!B99" display="Public Provident Fund (PPF):"/>
    <hyperlink ref="C31" location="'Tax rules'!B100" display="National Savings Certificate (NSC):"/>
    <hyperlink ref="C32" location="'Tax rules'!B101" display="Home Loan Principal Repayment &amp; Stamp Duty and Registration Charges for a home "/>
    <hyperlink ref="C33" location="'Tax rules'!B102" display="Tuition  fees  for 2 children "/>
    <hyperlink ref="C34" location="'Tax rules'!B103" display="Equity Linked Savings Scheme (ELSS)"/>
    <hyperlink ref="C35" location="'Tax rules'!B104" display="5-Yr bank fixed deposits (FDs)  or 5-Yr post office time deposit (POTD)"/>
    <hyperlink ref="C36" location="'Tax rules'!B105" display="Pension Funds or Pension Policies "/>
    <hyperlink ref="C37" location="'Tax rules'!B106" display="Stamp Duty and Registration Charges for a home:"/>
    <hyperlink ref="C38" location="'Tax rules'!B106" display="Infrastructure Bonds: NABARD rural bonds:"/>
    <hyperlink ref="C39" location="'Tax rules'!B107" display="Senior Citizen Savings Scheme 2004 (SCSS)"/>
    <hyperlink ref="C40" location="'Information &amp; Rules exmpt,Ded'!B113:B114" display="I M P O R T A N T -  A D V I S ES"/>
    <hyperlink ref="C7" location="'Information &amp; Rules exmpt,Ded'!B67:B72" display="Some  Exempted Receipts / Special allowances &amp;  Perquisite which are not chargable to tax"/>
    <hyperlink ref="C111" location="'Information &amp; Rules exmpt,Ded'!B1" display="                                                                                               1577 SECTOR-5 R.K.PURAM NEW DELHI-110022                                                GO UP"/>
    <hyperlink ref="C6" location="'Tax rules'!C41:C61" display="New Tax  Rates  for Financial-Year 2014-15, Assessment Year  2015-2016"/>
    <hyperlink ref="C17" location="'Tax rules'!B85" display="Rajiv Gandhi Equity Savings Scheme "/>
    <hyperlink ref="C25" location="'Tax rules'!B93" display="u/s 80TTA Deduction on interest on saving bank accounts."/>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B1:J33"/>
  <sheetViews>
    <sheetView showGridLines="0" showRowColHeaders="0" zoomScalePageLayoutView="0" workbookViewId="0" topLeftCell="A1">
      <selection activeCell="M12" sqref="M12"/>
    </sheetView>
  </sheetViews>
  <sheetFormatPr defaultColWidth="9.140625" defaultRowHeight="12.75"/>
  <cols>
    <col min="1" max="1" width="4.140625" style="0" customWidth="1"/>
    <col min="2" max="8" width="10.28125" style="0" customWidth="1"/>
    <col min="9" max="9" width="15.7109375" style="0" customWidth="1"/>
    <col min="10" max="10" width="4.28125" style="0" customWidth="1"/>
  </cols>
  <sheetData>
    <row r="1" spans="2:10" ht="14.25">
      <c r="B1" s="154"/>
      <c r="C1" s="154"/>
      <c r="D1" s="154"/>
      <c r="E1" s="154"/>
      <c r="F1" s="154"/>
      <c r="G1" s="154"/>
      <c r="H1" s="154"/>
      <c r="I1" s="154"/>
      <c r="J1" s="154"/>
    </row>
    <row r="2" spans="2:10" ht="18.75">
      <c r="B2" s="1360" t="s">
        <v>485</v>
      </c>
      <c r="C2" s="1360"/>
      <c r="D2" s="1360"/>
      <c r="E2" s="1360"/>
      <c r="F2" s="1360"/>
      <c r="G2" s="1360"/>
      <c r="H2" s="1360"/>
      <c r="I2" s="1360"/>
      <c r="J2" s="157"/>
    </row>
    <row r="3" spans="2:10" ht="14.25">
      <c r="B3" s="1361" t="s">
        <v>486</v>
      </c>
      <c r="C3" s="1361"/>
      <c r="D3" s="1361"/>
      <c r="E3" s="1361"/>
      <c r="F3" s="1361"/>
      <c r="G3" s="1361"/>
      <c r="H3" s="1361"/>
      <c r="I3" s="1361"/>
      <c r="J3" s="158"/>
    </row>
    <row r="4" spans="2:10" ht="12.75">
      <c r="B4" s="1362" t="s">
        <v>487</v>
      </c>
      <c r="C4" s="1362"/>
      <c r="D4" s="1362"/>
      <c r="E4" s="1362"/>
      <c r="F4" s="1362"/>
      <c r="G4" s="1362"/>
      <c r="H4" s="1362"/>
      <c r="I4" s="1362"/>
      <c r="J4" s="159"/>
    </row>
    <row r="5" spans="2:10" ht="12.75">
      <c r="B5" s="1363" t="s">
        <v>488</v>
      </c>
      <c r="C5" s="1363"/>
      <c r="D5" s="1363"/>
      <c r="E5" s="1363"/>
      <c r="F5" s="1363"/>
      <c r="G5" s="1363"/>
      <c r="H5" s="1363"/>
      <c r="I5" s="1363"/>
      <c r="J5" s="159"/>
    </row>
    <row r="6" spans="2:10" ht="15">
      <c r="B6" s="1364"/>
      <c r="C6" s="1364"/>
      <c r="D6" s="1364"/>
      <c r="E6" s="1364"/>
      <c r="F6" s="1364"/>
      <c r="G6" s="1364"/>
      <c r="H6" s="1364"/>
      <c r="I6" s="1364"/>
      <c r="J6" s="1364"/>
    </row>
    <row r="7" spans="2:10" ht="7.5" customHeight="1">
      <c r="B7" s="161"/>
      <c r="C7" s="161"/>
      <c r="D7" s="161"/>
      <c r="E7" s="161"/>
      <c r="F7" s="161"/>
      <c r="G7" s="161"/>
      <c r="H7" s="161"/>
      <c r="I7" s="161"/>
      <c r="J7" s="161"/>
    </row>
    <row r="8" spans="2:10" ht="15">
      <c r="B8" s="162" t="s">
        <v>489</v>
      </c>
      <c r="C8" s="161"/>
      <c r="D8" s="161"/>
      <c r="E8" s="161"/>
      <c r="F8" s="161"/>
      <c r="G8" s="161"/>
      <c r="H8" s="161" t="s">
        <v>490</v>
      </c>
      <c r="I8" s="161"/>
      <c r="J8" s="161"/>
    </row>
    <row r="9" spans="2:10" ht="15">
      <c r="B9" s="162"/>
      <c r="C9" s="161"/>
      <c r="D9" s="161"/>
      <c r="E9" s="161"/>
      <c r="F9" s="161"/>
      <c r="G9" s="161"/>
      <c r="H9" s="161"/>
      <c r="I9" s="161"/>
      <c r="J9" s="161"/>
    </row>
    <row r="10" spans="2:10" ht="18" customHeight="1">
      <c r="B10" s="1365" t="s">
        <v>491</v>
      </c>
      <c r="C10" s="1365"/>
      <c r="D10" s="1365"/>
      <c r="E10" s="1365"/>
      <c r="F10" s="1365"/>
      <c r="G10" s="1365"/>
      <c r="H10" s="1365"/>
      <c r="I10" s="1365"/>
      <c r="J10" s="1365"/>
    </row>
    <row r="11" spans="2:10" ht="18" customHeight="1">
      <c r="B11" s="1365" t="s">
        <v>549</v>
      </c>
      <c r="C11" s="1365"/>
      <c r="D11" s="1365"/>
      <c r="E11" s="1365"/>
      <c r="F11" s="1365"/>
      <c r="G11" s="1365"/>
      <c r="H11" s="1365"/>
      <c r="I11" s="1365"/>
      <c r="J11" s="1365"/>
    </row>
    <row r="12" spans="2:10" ht="18" customHeight="1">
      <c r="B12" s="1365" t="s">
        <v>492</v>
      </c>
      <c r="C12" s="1365"/>
      <c r="D12" s="1365"/>
      <c r="E12" s="1365"/>
      <c r="F12" s="1365"/>
      <c r="G12" s="1365"/>
      <c r="H12" s="1365"/>
      <c r="I12" s="1365"/>
      <c r="J12" s="1365"/>
    </row>
    <row r="13" spans="2:10" ht="18" customHeight="1">
      <c r="B13" s="1365" t="s">
        <v>493</v>
      </c>
      <c r="C13" s="1365"/>
      <c r="D13" s="1365"/>
      <c r="E13" s="1365"/>
      <c r="F13" s="1365"/>
      <c r="G13" s="1365"/>
      <c r="H13" s="1365"/>
      <c r="I13" s="1365"/>
      <c r="J13" s="1365"/>
    </row>
    <row r="14" spans="2:10" ht="9" customHeight="1">
      <c r="B14" s="162"/>
      <c r="C14" s="162"/>
      <c r="D14" s="162"/>
      <c r="E14" s="162"/>
      <c r="F14" s="162"/>
      <c r="G14" s="162"/>
      <c r="H14" s="162"/>
      <c r="I14" s="162"/>
      <c r="J14" s="162"/>
    </row>
    <row r="15" spans="2:10" ht="18" customHeight="1">
      <c r="B15" s="1365" t="s">
        <v>494</v>
      </c>
      <c r="C15" s="1365"/>
      <c r="D15" s="1365"/>
      <c r="E15" s="1365"/>
      <c r="F15" s="1365"/>
      <c r="G15" s="1365"/>
      <c r="H15" s="1365"/>
      <c r="I15" s="1365"/>
      <c r="J15" s="1365"/>
    </row>
    <row r="16" spans="2:10" ht="9" customHeight="1">
      <c r="B16" s="160"/>
      <c r="C16" s="160"/>
      <c r="D16" s="160"/>
      <c r="E16" s="160"/>
      <c r="F16" s="160"/>
      <c r="G16" s="160"/>
      <c r="H16" s="160"/>
      <c r="I16" s="160"/>
      <c r="J16" s="160"/>
    </row>
    <row r="17" spans="2:10" ht="18" customHeight="1">
      <c r="B17" s="1366" t="s">
        <v>495</v>
      </c>
      <c r="C17" s="1366"/>
      <c r="D17" s="1366"/>
      <c r="E17" s="1366"/>
      <c r="F17" s="1366"/>
      <c r="G17" s="1366"/>
      <c r="H17" s="1366"/>
      <c r="I17" s="1366"/>
      <c r="J17" s="1366"/>
    </row>
    <row r="18" spans="2:10" ht="15">
      <c r="B18" s="162"/>
      <c r="C18" s="162"/>
      <c r="D18" s="162"/>
      <c r="E18" s="162"/>
      <c r="F18" s="162"/>
      <c r="G18" s="162"/>
      <c r="H18" s="162"/>
      <c r="I18" s="162"/>
      <c r="J18" s="162"/>
    </row>
    <row r="19" spans="2:10" ht="15">
      <c r="B19" s="163" t="s">
        <v>496</v>
      </c>
      <c r="C19" s="162"/>
      <c r="D19" s="162"/>
      <c r="E19" s="162"/>
      <c r="F19" s="162"/>
      <c r="G19" s="162"/>
      <c r="H19" s="162"/>
      <c r="I19" s="162"/>
      <c r="J19" s="162"/>
    </row>
    <row r="20" spans="2:10" ht="15">
      <c r="B20" s="162" t="s">
        <v>547</v>
      </c>
      <c r="C20" s="162"/>
      <c r="D20" s="162"/>
      <c r="E20" s="162"/>
      <c r="F20" s="162"/>
      <c r="G20" s="162"/>
      <c r="H20" s="162"/>
      <c r="I20" s="162"/>
      <c r="J20" s="162"/>
    </row>
    <row r="21" spans="2:10" ht="3.75" customHeight="1">
      <c r="B21" s="162"/>
      <c r="C21" s="162"/>
      <c r="D21" s="162"/>
      <c r="E21" s="162"/>
      <c r="F21" s="162"/>
      <c r="G21" s="162"/>
      <c r="H21" s="162"/>
      <c r="I21" s="162"/>
      <c r="J21" s="162"/>
    </row>
    <row r="22" spans="2:10" ht="15">
      <c r="B22" s="162" t="s">
        <v>497</v>
      </c>
      <c r="C22" s="162"/>
      <c r="D22" s="162"/>
      <c r="E22" s="162"/>
      <c r="F22" s="162"/>
      <c r="G22" s="162"/>
      <c r="H22" s="162"/>
      <c r="I22" s="162"/>
      <c r="J22" s="162"/>
    </row>
    <row r="23" spans="2:10" ht="15">
      <c r="B23" s="162" t="s">
        <v>498</v>
      </c>
      <c r="C23" s="162"/>
      <c r="D23" s="162"/>
      <c r="E23" s="162"/>
      <c r="F23" s="162"/>
      <c r="G23" s="162"/>
      <c r="H23" s="162"/>
      <c r="I23" s="162"/>
      <c r="J23" s="162"/>
    </row>
    <row r="24" spans="2:10" ht="15">
      <c r="B24" s="162" t="s">
        <v>499</v>
      </c>
      <c r="C24" s="162"/>
      <c r="D24" s="162"/>
      <c r="E24" s="162"/>
      <c r="F24" s="162"/>
      <c r="G24" s="162"/>
      <c r="H24" s="162"/>
      <c r="I24" s="162"/>
      <c r="J24" s="162"/>
    </row>
    <row r="25" spans="2:10" ht="15">
      <c r="B25" s="162" t="s">
        <v>499</v>
      </c>
      <c r="C25" s="162"/>
      <c r="D25" s="162"/>
      <c r="E25" s="162"/>
      <c r="F25" s="162"/>
      <c r="G25" s="162"/>
      <c r="H25" s="162"/>
      <c r="I25" s="162"/>
      <c r="J25" s="162"/>
    </row>
    <row r="26" spans="2:10" ht="11.25" customHeight="1">
      <c r="B26" s="162"/>
      <c r="C26" s="162"/>
      <c r="D26" s="162"/>
      <c r="E26" s="162"/>
      <c r="F26" s="162"/>
      <c r="G26" s="162"/>
      <c r="H26" s="162"/>
      <c r="I26" s="162"/>
      <c r="J26" s="162"/>
    </row>
    <row r="27" spans="2:10" ht="15">
      <c r="B27" s="162" t="s">
        <v>500</v>
      </c>
      <c r="C27" s="162"/>
      <c r="D27" s="162"/>
      <c r="E27" s="162"/>
      <c r="F27" s="162"/>
      <c r="G27" s="162"/>
      <c r="H27" s="162"/>
      <c r="I27" s="162"/>
      <c r="J27" s="162"/>
    </row>
    <row r="28" spans="2:10" ht="15">
      <c r="B28" s="162" t="s">
        <v>501</v>
      </c>
      <c r="C28" s="162"/>
      <c r="D28" s="162"/>
      <c r="E28" s="162"/>
      <c r="F28" s="162"/>
      <c r="G28" s="162"/>
      <c r="H28" s="162"/>
      <c r="I28" s="162"/>
      <c r="J28" s="162"/>
    </row>
    <row r="29" spans="2:10" ht="15">
      <c r="B29" s="162"/>
      <c r="C29" s="162"/>
      <c r="D29" s="162"/>
      <c r="E29" s="162"/>
      <c r="F29" s="162"/>
      <c r="G29" s="162"/>
      <c r="H29" s="162"/>
      <c r="I29" s="162"/>
      <c r="J29" s="162"/>
    </row>
    <row r="30" spans="2:10" ht="15">
      <c r="B30" s="162"/>
      <c r="C30" s="162"/>
      <c r="D30" s="162"/>
      <c r="E30" s="162"/>
      <c r="F30" s="162"/>
      <c r="G30" s="162"/>
      <c r="H30" s="162"/>
      <c r="I30" s="162"/>
      <c r="J30" s="162"/>
    </row>
    <row r="31" spans="2:10" ht="15">
      <c r="B31" s="162" t="s">
        <v>548</v>
      </c>
      <c r="C31" s="162"/>
      <c r="D31" s="162"/>
      <c r="E31" s="162"/>
      <c r="F31" s="162"/>
      <c r="G31" s="162"/>
      <c r="H31" s="162"/>
      <c r="I31" s="162"/>
      <c r="J31" s="162"/>
    </row>
    <row r="32" spans="2:10" ht="15">
      <c r="B32" s="162"/>
      <c r="C32" s="162"/>
      <c r="D32" s="162"/>
      <c r="E32" s="162"/>
      <c r="F32" s="162"/>
      <c r="G32" s="162"/>
      <c r="H32" s="162"/>
      <c r="I32" s="162"/>
      <c r="J32" s="162"/>
    </row>
    <row r="33" spans="2:10" ht="15">
      <c r="B33" s="162"/>
      <c r="C33" s="162"/>
      <c r="D33" s="162"/>
      <c r="E33" s="162"/>
      <c r="F33" s="162"/>
      <c r="G33" s="162"/>
      <c r="H33" s="162"/>
      <c r="I33" s="162"/>
      <c r="J33" s="162"/>
    </row>
  </sheetData>
  <sheetProtection password="DE92" sheet="1" objects="1" scenarios="1" selectLockedCells="1" selectUnlockedCells="1"/>
  <mergeCells count="11">
    <mergeCell ref="B11:J11"/>
    <mergeCell ref="B12:J12"/>
    <mergeCell ref="B13:J13"/>
    <mergeCell ref="B15:J15"/>
    <mergeCell ref="B17:J17"/>
    <mergeCell ref="B2:I2"/>
    <mergeCell ref="B3:I3"/>
    <mergeCell ref="B4:I4"/>
    <mergeCell ref="B5:I5"/>
    <mergeCell ref="B6:J6"/>
    <mergeCell ref="B10:J10"/>
  </mergeCells>
  <printOptions/>
  <pageMargins left="0.51" right="0.55" top="0.75" bottom="0.75" header="0.3" footer="0.3"/>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tabColor rgb="FF3366FF"/>
  </sheetPr>
  <dimension ref="A1:FR500"/>
  <sheetViews>
    <sheetView showGridLines="0" showRowColHeaders="0" tabSelected="1" zoomScalePageLayoutView="0" workbookViewId="0" topLeftCell="A1">
      <selection activeCell="R12" sqref="R12"/>
    </sheetView>
  </sheetViews>
  <sheetFormatPr defaultColWidth="4.421875" defaultRowHeight="12.75"/>
  <cols>
    <col min="1" max="1" width="3.421875" style="166" customWidth="1"/>
    <col min="2" max="2" width="2.8515625" style="166" customWidth="1"/>
    <col min="3" max="3" width="13.57421875" style="166" customWidth="1"/>
    <col min="4" max="4" width="12.8515625" style="166" customWidth="1"/>
    <col min="5" max="5" width="7.00390625" style="166" customWidth="1"/>
    <col min="6" max="6" width="7.421875" style="166" customWidth="1"/>
    <col min="7" max="7" width="8.8515625" style="166" customWidth="1"/>
    <col min="8" max="8" width="6.7109375" style="166" customWidth="1"/>
    <col min="9" max="9" width="2.8515625" style="166" customWidth="1"/>
    <col min="10" max="10" width="20.57421875" style="166" customWidth="1"/>
    <col min="11" max="11" width="12.140625" style="166" customWidth="1"/>
    <col min="12" max="12" width="14.28125" style="166" customWidth="1"/>
    <col min="13" max="13" width="2.8515625" style="166" customWidth="1"/>
    <col min="14" max="14" width="13.140625" style="166" customWidth="1"/>
    <col min="15" max="15" width="11.7109375" style="166" customWidth="1"/>
    <col min="16" max="16" width="10.8515625" style="166" customWidth="1"/>
    <col min="17" max="17" width="10.140625" style="166" customWidth="1"/>
    <col min="18" max="18" width="8.57421875" style="166" customWidth="1"/>
    <col min="19" max="19" width="10.421875" style="166" customWidth="1"/>
    <col min="20" max="20" width="2.8515625" style="187" customWidth="1"/>
    <col min="21" max="38" width="9.421875" style="166" customWidth="1"/>
    <col min="39" max="39" width="10.140625" style="166" customWidth="1"/>
    <col min="40" max="40" width="11.00390625" style="166" customWidth="1"/>
    <col min="41" max="41" width="10.8515625" style="166" customWidth="1"/>
    <col min="42" max="42" width="12.140625" style="166" customWidth="1"/>
    <col min="43" max="43" width="11.421875" style="166" customWidth="1"/>
    <col min="44" max="44" width="12.28125" style="166" customWidth="1"/>
    <col min="45" max="45" width="10.7109375" style="166" customWidth="1"/>
    <col min="46" max="46" width="9.57421875" style="166" customWidth="1"/>
    <col min="47" max="47" width="18.57421875" style="166" customWidth="1"/>
    <col min="48" max="48" width="15.7109375" style="166" customWidth="1"/>
    <col min="49" max="49" width="18.7109375" style="166" customWidth="1"/>
    <col min="50" max="50" width="12.7109375" style="166" customWidth="1"/>
    <col min="51" max="51" width="12.140625" style="166" customWidth="1"/>
    <col min="52" max="52" width="14.00390625" style="166" customWidth="1"/>
    <col min="53" max="53" width="11.8515625" style="166" customWidth="1"/>
    <col min="54" max="54" width="12.57421875" style="166" customWidth="1"/>
    <col min="55" max="55" width="11.00390625" style="166" customWidth="1"/>
    <col min="56" max="72" width="9.57421875" style="166" customWidth="1"/>
    <col min="73" max="73" width="10.00390625" style="166" customWidth="1"/>
    <col min="74" max="74" width="10.421875" style="166" customWidth="1"/>
    <col min="75" max="82" width="9.57421875" style="166" customWidth="1"/>
    <col min="83" max="83" width="11.421875" style="166" customWidth="1"/>
    <col min="84" max="89" width="10.7109375" style="166" customWidth="1"/>
    <col min="90" max="90" width="10.57421875" style="166" customWidth="1"/>
    <col min="91" max="93" width="10.7109375" style="166" customWidth="1"/>
    <col min="94" max="99" width="8.7109375" style="166" customWidth="1"/>
    <col min="100" max="100" width="10.00390625" style="166" customWidth="1"/>
    <col min="101" max="101" width="9.28125" style="166" customWidth="1"/>
    <col min="102" max="102" width="9.7109375" style="166" customWidth="1"/>
    <col min="103" max="104" width="4.421875" style="166" customWidth="1"/>
    <col min="105" max="105" width="7.00390625" style="166" customWidth="1"/>
    <col min="106" max="116" width="8.7109375" style="166" customWidth="1"/>
    <col min="117" max="211" width="4.421875" style="166" customWidth="1"/>
    <col min="212" max="16384" width="4.421875" style="166" customWidth="1"/>
  </cols>
  <sheetData>
    <row r="1" spans="1:92" ht="15" thickBot="1">
      <c r="A1" s="784"/>
      <c r="B1" s="784"/>
      <c r="C1" s="784"/>
      <c r="D1" s="784"/>
      <c r="E1" s="784"/>
      <c r="F1" s="784"/>
      <c r="G1" s="784"/>
      <c r="H1" s="784"/>
      <c r="I1" s="784"/>
      <c r="J1" s="784"/>
      <c r="K1" s="784"/>
      <c r="L1" s="784"/>
      <c r="M1" s="784"/>
      <c r="N1" s="784"/>
      <c r="O1" s="784"/>
      <c r="P1" s="784"/>
      <c r="Q1" s="784"/>
      <c r="R1" s="784"/>
      <c r="S1" s="784"/>
      <c r="T1" s="785"/>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c r="BF1" s="784"/>
      <c r="BG1" s="784"/>
      <c r="BH1" s="784"/>
      <c r="BI1" s="784"/>
      <c r="BJ1" s="784"/>
      <c r="BK1" s="784"/>
      <c r="BL1" s="784"/>
      <c r="BM1" s="784"/>
      <c r="BN1" s="784"/>
      <c r="BO1" s="784"/>
      <c r="BP1" s="784"/>
      <c r="BQ1" s="784"/>
      <c r="BR1" s="784"/>
      <c r="BS1" s="784"/>
      <c r="BT1" s="784"/>
      <c r="BU1" s="784"/>
      <c r="BV1" s="784"/>
      <c r="BW1" s="784"/>
      <c r="BX1" s="784"/>
      <c r="BY1" s="784"/>
      <c r="BZ1" s="784"/>
      <c r="CA1" s="218"/>
      <c r="CB1" s="218"/>
      <c r="CC1" s="218"/>
      <c r="CD1" s="218"/>
      <c r="CE1" s="218"/>
      <c r="CF1" s="218"/>
      <c r="CG1" s="218"/>
      <c r="CH1" s="218"/>
      <c r="CI1" s="218"/>
      <c r="CJ1" s="218"/>
      <c r="CK1" s="218"/>
      <c r="CL1" s="218"/>
      <c r="CM1" s="218"/>
      <c r="CN1" s="218"/>
    </row>
    <row r="2" spans="1:78" ht="19.5" customHeight="1">
      <c r="A2" s="784"/>
      <c r="B2" s="914" t="s">
        <v>574</v>
      </c>
      <c r="C2" s="915"/>
      <c r="D2" s="915"/>
      <c r="E2" s="915"/>
      <c r="F2" s="915"/>
      <c r="G2" s="915"/>
      <c r="H2" s="915"/>
      <c r="I2" s="915"/>
      <c r="J2" s="915"/>
      <c r="K2" s="915"/>
      <c r="L2" s="915"/>
      <c r="M2" s="915"/>
      <c r="N2" s="915"/>
      <c r="O2" s="915"/>
      <c r="P2" s="915"/>
      <c r="Q2" s="915"/>
      <c r="R2" s="915"/>
      <c r="S2" s="915"/>
      <c r="T2" s="379"/>
      <c r="U2" s="167"/>
      <c r="V2" s="167"/>
      <c r="W2" s="167"/>
      <c r="X2" s="167"/>
      <c r="Y2" s="167"/>
      <c r="Z2" s="167"/>
      <c r="AA2" s="167"/>
      <c r="AB2" s="167"/>
      <c r="AC2" s="167"/>
      <c r="AD2" s="167"/>
      <c r="AE2" s="167"/>
      <c r="AF2" s="167"/>
      <c r="AG2" s="167"/>
      <c r="AH2" s="167"/>
      <c r="AI2" s="167"/>
      <c r="AJ2" s="784"/>
      <c r="AK2" s="784"/>
      <c r="AL2" s="784"/>
      <c r="AM2" s="784"/>
      <c r="AN2" s="784"/>
      <c r="AO2" s="784"/>
      <c r="AP2" s="784"/>
      <c r="AQ2" s="784"/>
      <c r="AR2" s="784"/>
      <c r="AS2" s="784"/>
      <c r="AT2" s="784"/>
      <c r="AU2" s="784"/>
      <c r="AV2" s="784"/>
      <c r="AW2" s="784"/>
      <c r="AX2" s="784"/>
      <c r="AY2" s="784"/>
      <c r="AZ2" s="784"/>
      <c r="BA2" s="784"/>
      <c r="BB2" s="784"/>
      <c r="BC2" s="784"/>
      <c r="BD2" s="784"/>
      <c r="BE2" s="784"/>
      <c r="BF2" s="784"/>
      <c r="BG2" s="784"/>
      <c r="BH2" s="784"/>
      <c r="BI2" s="784"/>
      <c r="BJ2" s="784"/>
      <c r="BK2" s="784"/>
      <c r="BL2" s="784"/>
      <c r="BM2" s="784"/>
      <c r="BN2" s="784"/>
      <c r="BO2" s="784"/>
      <c r="BP2" s="784"/>
      <c r="BQ2" s="784"/>
      <c r="BR2" s="784"/>
      <c r="BS2" s="784"/>
      <c r="BT2" s="784"/>
      <c r="BU2" s="784"/>
      <c r="BV2" s="784"/>
      <c r="BW2" s="784"/>
      <c r="BX2" s="784"/>
      <c r="BY2" s="784"/>
      <c r="BZ2" s="784"/>
    </row>
    <row r="3" spans="1:78" ht="19.5" customHeight="1" thickBot="1">
      <c r="A3" s="784"/>
      <c r="B3" s="916"/>
      <c r="C3" s="917"/>
      <c r="D3" s="917"/>
      <c r="E3" s="917"/>
      <c r="F3" s="917"/>
      <c r="G3" s="917"/>
      <c r="H3" s="917"/>
      <c r="I3" s="917"/>
      <c r="J3" s="917"/>
      <c r="K3" s="917"/>
      <c r="L3" s="917"/>
      <c r="M3" s="917"/>
      <c r="N3" s="917"/>
      <c r="O3" s="917"/>
      <c r="P3" s="917"/>
      <c r="Q3" s="917"/>
      <c r="R3" s="917"/>
      <c r="S3" s="917"/>
      <c r="T3" s="380"/>
      <c r="U3" s="167"/>
      <c r="V3" s="167"/>
      <c r="W3" s="167"/>
      <c r="X3" s="167"/>
      <c r="Y3" s="167"/>
      <c r="Z3" s="167"/>
      <c r="AA3" s="167"/>
      <c r="AB3" s="167"/>
      <c r="AC3" s="167"/>
      <c r="AD3" s="167"/>
      <c r="AE3" s="167"/>
      <c r="AF3" s="167"/>
      <c r="AG3" s="167"/>
      <c r="AH3" s="167"/>
      <c r="AI3" s="167"/>
      <c r="AJ3" s="784"/>
      <c r="AK3" s="784"/>
      <c r="AL3" s="784"/>
      <c r="AM3" s="784"/>
      <c r="AN3" s="784"/>
      <c r="AO3" s="784"/>
      <c r="AP3" s="784"/>
      <c r="AQ3" s="784"/>
      <c r="AR3" s="784"/>
      <c r="AS3" s="784"/>
      <c r="AT3" s="784"/>
      <c r="AU3" s="784"/>
      <c r="AV3" s="784"/>
      <c r="AW3" s="784"/>
      <c r="AX3" s="784"/>
      <c r="AY3" s="784"/>
      <c r="AZ3" s="784"/>
      <c r="BA3" s="784"/>
      <c r="BB3" s="784"/>
      <c r="BC3" s="784"/>
      <c r="BD3" s="784"/>
      <c r="BE3" s="784"/>
      <c r="BF3" s="784"/>
      <c r="BG3" s="784"/>
      <c r="BH3" s="784"/>
      <c r="BI3" s="784"/>
      <c r="BJ3" s="784"/>
      <c r="BK3" s="784"/>
      <c r="BL3" s="784"/>
      <c r="BM3" s="784"/>
      <c r="BN3" s="784"/>
      <c r="BO3" s="784"/>
      <c r="BP3" s="784"/>
      <c r="BQ3" s="784"/>
      <c r="BR3" s="784"/>
      <c r="BS3" s="784"/>
      <c r="BT3" s="784"/>
      <c r="BU3" s="784"/>
      <c r="BV3" s="784"/>
      <c r="BW3" s="784"/>
      <c r="BX3" s="784"/>
      <c r="BY3" s="784"/>
      <c r="BZ3" s="784"/>
    </row>
    <row r="4" spans="1:78" ht="19.5" customHeight="1" thickBot="1">
      <c r="A4" s="784"/>
      <c r="B4" s="921" t="s">
        <v>622</v>
      </c>
      <c r="C4" s="922"/>
      <c r="D4" s="922"/>
      <c r="E4" s="922"/>
      <c r="F4" s="922"/>
      <c r="G4" s="922"/>
      <c r="H4" s="922"/>
      <c r="I4" s="922"/>
      <c r="J4" s="922"/>
      <c r="K4" s="922"/>
      <c r="L4" s="922"/>
      <c r="M4" s="922"/>
      <c r="N4" s="922"/>
      <c r="O4" s="922"/>
      <c r="P4" s="922"/>
      <c r="Q4" s="922"/>
      <c r="R4" s="922"/>
      <c r="S4" s="923"/>
      <c r="T4" s="380"/>
      <c r="U4" s="167"/>
      <c r="V4" s="167"/>
      <c r="W4" s="167"/>
      <c r="X4" s="167"/>
      <c r="Y4" s="167"/>
      <c r="Z4" s="167"/>
      <c r="AA4" s="167"/>
      <c r="AB4" s="167"/>
      <c r="AC4" s="167"/>
      <c r="AD4" s="167"/>
      <c r="AE4" s="167"/>
      <c r="AF4" s="167"/>
      <c r="AG4" s="167"/>
      <c r="AH4" s="167"/>
      <c r="AI4" s="167"/>
      <c r="AJ4" s="784"/>
      <c r="AK4" s="784"/>
      <c r="AL4" s="784"/>
      <c r="AM4" s="784"/>
      <c r="AN4" s="784"/>
      <c r="AO4" s="784"/>
      <c r="AP4" s="784"/>
      <c r="AQ4" s="784"/>
      <c r="AR4" s="784"/>
      <c r="AS4" s="784"/>
      <c r="AT4" s="784"/>
      <c r="AU4" s="784"/>
      <c r="AV4" s="784"/>
      <c r="AW4" s="784"/>
      <c r="AX4" s="784"/>
      <c r="AY4" s="784"/>
      <c r="AZ4" s="784"/>
      <c r="BA4" s="784"/>
      <c r="BB4" s="784"/>
      <c r="BC4" s="784"/>
      <c r="BD4" s="784"/>
      <c r="BE4" s="784"/>
      <c r="BF4" s="784"/>
      <c r="BG4" s="784"/>
      <c r="BH4" s="784"/>
      <c r="BI4" s="784"/>
      <c r="BJ4" s="784"/>
      <c r="BK4" s="784"/>
      <c r="BL4" s="784"/>
      <c r="BM4" s="784"/>
      <c r="BN4" s="784"/>
      <c r="BO4" s="784"/>
      <c r="BP4" s="784"/>
      <c r="BQ4" s="784"/>
      <c r="BR4" s="784"/>
      <c r="BS4" s="784"/>
      <c r="BT4" s="784"/>
      <c r="BU4" s="784"/>
      <c r="BV4" s="784"/>
      <c r="BW4" s="784"/>
      <c r="BX4" s="784"/>
      <c r="BY4" s="784"/>
      <c r="BZ4" s="784"/>
    </row>
    <row r="5" spans="1:78" ht="22.5" customHeight="1">
      <c r="A5" s="784"/>
      <c r="B5" s="833"/>
      <c r="C5" s="825"/>
      <c r="D5" s="825"/>
      <c r="E5" s="825"/>
      <c r="F5" s="825"/>
      <c r="G5" s="1000">
        <f>BP243</f>
        <v>5300</v>
      </c>
      <c r="H5" s="1001"/>
      <c r="I5" s="1002"/>
      <c r="J5" s="1040" t="str">
        <f>BS237</f>
        <v> No change HRA </v>
      </c>
      <c r="K5" s="1041"/>
      <c r="L5" s="1023" t="str">
        <f>"     "&amp;BX226&amp;", "&amp;BX230</f>
        <v>     Your drawing HRA=24965, No need to produce rent receipt due to below 36000 HRA  (for your monthly rent@ Rs.5300)</v>
      </c>
      <c r="M5" s="1024"/>
      <c r="N5" s="1024"/>
      <c r="O5" s="1025"/>
      <c r="P5" s="168"/>
      <c r="Q5" s="169"/>
      <c r="R5" s="1027" t="str">
        <f>CONCATENATE("Rs./-   ",'Annexure -I I'!L54)</f>
        <v>Rs./-   12039</v>
      </c>
      <c r="S5" s="1028"/>
      <c r="T5" s="380"/>
      <c r="U5" s="167"/>
      <c r="V5" s="167"/>
      <c r="W5" s="167"/>
      <c r="X5" s="167"/>
      <c r="Y5" s="167"/>
      <c r="Z5" s="167"/>
      <c r="AA5" s="167"/>
      <c r="AB5" s="167"/>
      <c r="AC5" s="167"/>
      <c r="AD5" s="167"/>
      <c r="AE5" s="167"/>
      <c r="AF5" s="167"/>
      <c r="AG5" s="167"/>
      <c r="AH5" s="167"/>
      <c r="AI5" s="167"/>
      <c r="AJ5" s="784"/>
      <c r="AK5" s="784"/>
      <c r="AL5" s="784"/>
      <c r="AM5" s="784"/>
      <c r="AN5" s="784"/>
      <c r="AO5" s="784"/>
      <c r="AP5" s="784"/>
      <c r="AQ5" s="784"/>
      <c r="AR5" s="784"/>
      <c r="AS5" s="784"/>
      <c r="AT5" s="784"/>
      <c r="AU5" s="784"/>
      <c r="AV5" s="784"/>
      <c r="AW5" s="784"/>
      <c r="AX5" s="784"/>
      <c r="AY5" s="784"/>
      <c r="AZ5" s="784"/>
      <c r="BA5" s="784"/>
      <c r="BB5" s="784"/>
      <c r="BC5" s="784"/>
      <c r="BD5" s="784"/>
      <c r="BE5" s="784"/>
      <c r="BF5" s="784"/>
      <c r="BG5" s="784"/>
      <c r="BH5" s="784"/>
      <c r="BI5" s="784"/>
      <c r="BJ5" s="784"/>
      <c r="BK5" s="784"/>
      <c r="BL5" s="784"/>
      <c r="BM5" s="784"/>
      <c r="BN5" s="784"/>
      <c r="BO5" s="784"/>
      <c r="BP5" s="784"/>
      <c r="BQ5" s="784"/>
      <c r="BR5" s="784"/>
      <c r="BS5" s="784"/>
      <c r="BT5" s="784"/>
      <c r="BU5" s="784"/>
      <c r="BV5" s="784"/>
      <c r="BW5" s="784"/>
      <c r="BX5" s="784"/>
      <c r="BY5" s="784"/>
      <c r="BZ5" s="784"/>
    </row>
    <row r="6" spans="1:78" ht="22.5" customHeight="1" thickBot="1">
      <c r="A6" s="784"/>
      <c r="B6" s="834"/>
      <c r="C6" s="826"/>
      <c r="D6" s="826"/>
      <c r="E6" s="826"/>
      <c r="F6" s="826"/>
      <c r="G6" s="1003"/>
      <c r="H6" s="1004"/>
      <c r="I6" s="1005"/>
      <c r="J6" s="1040"/>
      <c r="K6" s="1041"/>
      <c r="L6" s="1023"/>
      <c r="M6" s="1026"/>
      <c r="N6" s="1024"/>
      <c r="O6" s="1025"/>
      <c r="P6" s="168"/>
      <c r="Q6" s="169"/>
      <c r="R6" s="1029"/>
      <c r="S6" s="1030"/>
      <c r="T6" s="380"/>
      <c r="U6" s="167"/>
      <c r="V6" s="167"/>
      <c r="W6" s="167"/>
      <c r="X6" s="167"/>
      <c r="Y6" s="167"/>
      <c r="Z6" s="167"/>
      <c r="AA6" s="167"/>
      <c r="AB6" s="167"/>
      <c r="AC6" s="167"/>
      <c r="AD6" s="167"/>
      <c r="AE6" s="167"/>
      <c r="AF6" s="167"/>
      <c r="AG6" s="167"/>
      <c r="AH6" s="167"/>
      <c r="AI6" s="167"/>
      <c r="AJ6" s="784"/>
      <c r="AK6" s="784"/>
      <c r="AL6" s="784"/>
      <c r="AM6" s="784"/>
      <c r="AN6" s="784"/>
      <c r="AO6" s="784"/>
      <c r="AP6" s="784"/>
      <c r="AQ6" s="784"/>
      <c r="AR6" s="784"/>
      <c r="AS6" s="784"/>
      <c r="AT6" s="784"/>
      <c r="AU6" s="784"/>
      <c r="AV6" s="784"/>
      <c r="AW6" s="784"/>
      <c r="AX6" s="784"/>
      <c r="AY6" s="784"/>
      <c r="AZ6" s="784"/>
      <c r="BA6" s="784"/>
      <c r="BB6" s="784"/>
      <c r="BC6" s="784"/>
      <c r="BD6" s="784"/>
      <c r="BE6" s="784"/>
      <c r="BF6" s="784"/>
      <c r="BG6" s="784"/>
      <c r="BH6" s="784"/>
      <c r="BI6" s="784"/>
      <c r="BJ6" s="784"/>
      <c r="BK6" s="784"/>
      <c r="BL6" s="784"/>
      <c r="BM6" s="784"/>
      <c r="BN6" s="784"/>
      <c r="BO6" s="784"/>
      <c r="BP6" s="784"/>
      <c r="BQ6" s="784"/>
      <c r="BR6" s="784"/>
      <c r="BS6" s="784"/>
      <c r="BT6" s="784"/>
      <c r="BU6" s="784"/>
      <c r="BV6" s="784"/>
      <c r="BW6" s="784"/>
      <c r="BX6" s="784"/>
      <c r="BY6" s="784"/>
      <c r="BZ6" s="784"/>
    </row>
    <row r="7" spans="1:78" ht="26.25" customHeight="1">
      <c r="A7" s="784"/>
      <c r="B7" s="835"/>
      <c r="C7" s="1045" t="s">
        <v>0</v>
      </c>
      <c r="D7" s="1045"/>
      <c r="E7" s="1045"/>
      <c r="F7" s="1045"/>
      <c r="G7" s="1045"/>
      <c r="H7" s="1046"/>
      <c r="I7" s="550"/>
      <c r="J7" s="1035" t="s">
        <v>581</v>
      </c>
      <c r="K7" s="1035"/>
      <c r="L7" s="1035"/>
      <c r="M7" s="978"/>
      <c r="N7" s="1031" t="s">
        <v>768</v>
      </c>
      <c r="O7" s="1031"/>
      <c r="P7" s="1031"/>
      <c r="Q7" s="1032"/>
      <c r="R7" s="1036" t="s">
        <v>25</v>
      </c>
      <c r="S7" s="1038" t="s">
        <v>26</v>
      </c>
      <c r="T7" s="380"/>
      <c r="U7" s="784"/>
      <c r="V7" s="784"/>
      <c r="W7" s="784"/>
      <c r="X7" s="784"/>
      <c r="Y7" s="784"/>
      <c r="Z7" s="784"/>
      <c r="AA7" s="784"/>
      <c r="AB7" s="784"/>
      <c r="AC7" s="784"/>
      <c r="AD7" s="784"/>
      <c r="AE7" s="784"/>
      <c r="AF7" s="784"/>
      <c r="AG7" s="784"/>
      <c r="AH7" s="784"/>
      <c r="AI7" s="784"/>
      <c r="AJ7" s="794"/>
      <c r="AK7" s="784"/>
      <c r="AL7" s="784"/>
      <c r="AM7" s="784"/>
      <c r="AN7" s="784"/>
      <c r="AO7" s="784"/>
      <c r="AP7" s="784"/>
      <c r="AQ7" s="784"/>
      <c r="AR7" s="784"/>
      <c r="AS7" s="784"/>
      <c r="AT7" s="784"/>
      <c r="AU7" s="784"/>
      <c r="AV7" s="784"/>
      <c r="AW7" s="784"/>
      <c r="AX7" s="784"/>
      <c r="AY7" s="784"/>
      <c r="AZ7" s="784"/>
      <c r="BA7" s="784"/>
      <c r="BB7" s="784"/>
      <c r="BC7" s="784"/>
      <c r="BD7" s="784"/>
      <c r="BE7" s="784"/>
      <c r="BF7" s="784"/>
      <c r="BG7" s="784"/>
      <c r="BH7" s="784"/>
      <c r="BI7" s="784"/>
      <c r="BJ7" s="784"/>
      <c r="BK7" s="784"/>
      <c r="BL7" s="784"/>
      <c r="BM7" s="784"/>
      <c r="BN7" s="784"/>
      <c r="BO7" s="784"/>
      <c r="BP7" s="784"/>
      <c r="BQ7" s="784"/>
      <c r="BR7" s="784"/>
      <c r="BS7" s="784"/>
      <c r="BT7" s="784"/>
      <c r="BU7" s="784"/>
      <c r="BV7" s="784"/>
      <c r="BW7" s="784"/>
      <c r="BX7" s="784"/>
      <c r="BY7" s="784"/>
      <c r="BZ7" s="784"/>
    </row>
    <row r="8" spans="1:78" ht="18" customHeight="1" thickBot="1">
      <c r="A8" s="784"/>
      <c r="B8" s="830"/>
      <c r="C8" s="1049" t="s">
        <v>1</v>
      </c>
      <c r="D8" s="1050"/>
      <c r="E8" s="673"/>
      <c r="F8" s="1047" t="s">
        <v>825</v>
      </c>
      <c r="G8" s="1048"/>
      <c r="H8" s="1048"/>
      <c r="I8" s="551"/>
      <c r="J8" s="548" t="s">
        <v>766</v>
      </c>
      <c r="K8" s="549"/>
      <c r="L8" s="376">
        <v>17050</v>
      </c>
      <c r="M8" s="979"/>
      <c r="N8" s="1033"/>
      <c r="O8" s="1033"/>
      <c r="P8" s="1033"/>
      <c r="Q8" s="1034"/>
      <c r="R8" s="1037"/>
      <c r="S8" s="1039"/>
      <c r="T8" s="380"/>
      <c r="U8" s="784"/>
      <c r="V8" s="784"/>
      <c r="W8" s="784"/>
      <c r="X8" s="784"/>
      <c r="Y8" s="784"/>
      <c r="Z8" s="784"/>
      <c r="AA8" s="784"/>
      <c r="AB8" s="784"/>
      <c r="AC8" s="784"/>
      <c r="AD8" s="784"/>
      <c r="AE8" s="784"/>
      <c r="AF8" s="784"/>
      <c r="AG8" s="784"/>
      <c r="AH8" s="784"/>
      <c r="AI8" s="784"/>
      <c r="AJ8" s="784"/>
      <c r="AK8" s="784"/>
      <c r="AL8" s="784"/>
      <c r="AM8" s="784"/>
      <c r="AN8" s="784"/>
      <c r="AO8" s="784"/>
      <c r="AP8" s="784"/>
      <c r="AQ8" s="784"/>
      <c r="AR8" s="784"/>
      <c r="AS8" s="784"/>
      <c r="AT8" s="784"/>
      <c r="AU8" s="784"/>
      <c r="AV8" s="784"/>
      <c r="AW8" s="784"/>
      <c r="AX8" s="784"/>
      <c r="AY8" s="784"/>
      <c r="AZ8" s="784"/>
      <c r="BA8" s="784"/>
      <c r="BB8" s="784"/>
      <c r="BC8" s="784"/>
      <c r="BD8" s="784"/>
      <c r="BE8" s="784"/>
      <c r="BF8" s="784"/>
      <c r="BG8" s="784"/>
      <c r="BH8" s="784"/>
      <c r="BI8" s="784"/>
      <c r="BJ8" s="784"/>
      <c r="BK8" s="784"/>
      <c r="BL8" s="784"/>
      <c r="BM8" s="784"/>
      <c r="BN8" s="784"/>
      <c r="BO8" s="784"/>
      <c r="BP8" s="784"/>
      <c r="BQ8" s="784"/>
      <c r="BR8" s="784"/>
      <c r="BS8" s="784"/>
      <c r="BT8" s="784"/>
      <c r="BU8" s="784"/>
      <c r="BV8" s="784"/>
      <c r="BW8" s="784"/>
      <c r="BX8" s="784"/>
      <c r="BY8" s="784"/>
      <c r="BZ8" s="784"/>
    </row>
    <row r="9" spans="1:78" ht="18" customHeight="1" thickBot="1">
      <c r="A9" s="784"/>
      <c r="B9" s="830"/>
      <c r="C9" s="931" t="s">
        <v>4</v>
      </c>
      <c r="D9" s="932"/>
      <c r="E9" s="897" t="s">
        <v>95</v>
      </c>
      <c r="F9" s="898"/>
      <c r="G9" s="898"/>
      <c r="H9" s="898"/>
      <c r="I9" s="551"/>
      <c r="J9" s="543" t="s">
        <v>767</v>
      </c>
      <c r="K9" s="544"/>
      <c r="L9" s="171">
        <v>12</v>
      </c>
      <c r="M9" s="979"/>
      <c r="N9" s="369"/>
      <c r="O9" s="369"/>
      <c r="P9" s="369"/>
      <c r="Q9" s="369"/>
      <c r="R9" s="426"/>
      <c r="S9" s="375"/>
      <c r="T9" s="380"/>
      <c r="U9" s="784"/>
      <c r="V9" s="784"/>
      <c r="W9" s="784"/>
      <c r="X9" s="784"/>
      <c r="Y9" s="784"/>
      <c r="Z9" s="784"/>
      <c r="AA9" s="784"/>
      <c r="AB9" s="784"/>
      <c r="AC9" s="784"/>
      <c r="AD9" s="784"/>
      <c r="AE9" s="784"/>
      <c r="AF9" s="784"/>
      <c r="AG9" s="784"/>
      <c r="AH9" s="784"/>
      <c r="AI9" s="784"/>
      <c r="AJ9" s="784"/>
      <c r="AK9" s="784"/>
      <c r="AL9" s="784"/>
      <c r="AM9" s="784"/>
      <c r="AN9" s="784"/>
      <c r="AO9" s="784"/>
      <c r="AP9" s="784"/>
      <c r="AQ9" s="784"/>
      <c r="AR9" s="784"/>
      <c r="AS9" s="784"/>
      <c r="AT9" s="784"/>
      <c r="AU9" s="784"/>
      <c r="AV9" s="784"/>
      <c r="AW9" s="784"/>
      <c r="AX9" s="784"/>
      <c r="AY9" s="784"/>
      <c r="AZ9" s="784"/>
      <c r="BA9" s="784"/>
      <c r="BB9" s="784"/>
      <c r="BC9" s="784"/>
      <c r="BD9" s="784"/>
      <c r="BE9" s="784"/>
      <c r="BF9" s="784"/>
      <c r="BG9" s="784"/>
      <c r="BH9" s="784"/>
      <c r="BI9" s="784"/>
      <c r="BJ9" s="784"/>
      <c r="BK9" s="784"/>
      <c r="BL9" s="784"/>
      <c r="BM9" s="784"/>
      <c r="BN9" s="784"/>
      <c r="BO9" s="784"/>
      <c r="BP9" s="784"/>
      <c r="BQ9" s="784"/>
      <c r="BR9" s="784"/>
      <c r="BS9" s="784"/>
      <c r="BT9" s="784"/>
      <c r="BU9" s="784"/>
      <c r="BV9" s="784"/>
      <c r="BW9" s="784"/>
      <c r="BX9" s="784"/>
      <c r="BY9" s="784"/>
      <c r="BZ9" s="784"/>
    </row>
    <row r="10" spans="1:78" ht="18" customHeight="1" thickBot="1">
      <c r="A10" s="784"/>
      <c r="B10" s="830"/>
      <c r="C10" s="931" t="s">
        <v>5</v>
      </c>
      <c r="D10" s="932"/>
      <c r="E10" s="897" t="s">
        <v>6</v>
      </c>
      <c r="F10" s="898"/>
      <c r="G10" s="898"/>
      <c r="H10" s="898"/>
      <c r="I10" s="551"/>
      <c r="J10" s="542" t="s">
        <v>7</v>
      </c>
      <c r="K10" s="545"/>
      <c r="L10" s="176"/>
      <c r="M10" s="979"/>
      <c r="R10" s="427"/>
      <c r="T10" s="380"/>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4"/>
      <c r="AY10" s="784"/>
      <c r="AZ10" s="784"/>
      <c r="BA10" s="784"/>
      <c r="BB10" s="784"/>
      <c r="BC10" s="784"/>
      <c r="BD10" s="784"/>
      <c r="BE10" s="784"/>
      <c r="BF10" s="784"/>
      <c r="BG10" s="784"/>
      <c r="BH10" s="784"/>
      <c r="BI10" s="784"/>
      <c r="BJ10" s="784"/>
      <c r="BK10" s="784"/>
      <c r="BL10" s="784"/>
      <c r="BM10" s="784"/>
      <c r="BN10" s="784"/>
      <c r="BO10" s="784"/>
      <c r="BP10" s="784"/>
      <c r="BQ10" s="784"/>
      <c r="BR10" s="784"/>
      <c r="BS10" s="784"/>
      <c r="BT10" s="784"/>
      <c r="BU10" s="784"/>
      <c r="BV10" s="784"/>
      <c r="BW10" s="784"/>
      <c r="BX10" s="784"/>
      <c r="BY10" s="784"/>
      <c r="BZ10" s="784"/>
    </row>
    <row r="11" spans="1:78" ht="18" customHeight="1" thickBot="1">
      <c r="A11" s="784"/>
      <c r="B11" s="830"/>
      <c r="C11" s="931" t="s">
        <v>584</v>
      </c>
      <c r="D11" s="932"/>
      <c r="E11" s="897" t="s">
        <v>828</v>
      </c>
      <c r="F11" s="898"/>
      <c r="G11" s="898"/>
      <c r="H11" s="898"/>
      <c r="I11" s="551"/>
      <c r="J11" s="1042" t="s">
        <v>10</v>
      </c>
      <c r="K11" s="1018"/>
      <c r="L11" s="177"/>
      <c r="M11" s="979"/>
      <c r="N11" s="287"/>
      <c r="O11" s="361"/>
      <c r="P11" s="361"/>
      <c r="Q11" s="361"/>
      <c r="R11" s="432"/>
      <c r="S11" s="361"/>
      <c r="T11" s="380"/>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4"/>
      <c r="AY11" s="784"/>
      <c r="AZ11" s="784"/>
      <c r="BA11" s="784"/>
      <c r="BB11" s="784"/>
      <c r="BC11" s="784"/>
      <c r="BD11" s="784"/>
      <c r="BE11" s="784"/>
      <c r="BF11" s="784"/>
      <c r="BG11" s="784"/>
      <c r="BH11" s="784"/>
      <c r="BI11" s="784"/>
      <c r="BJ11" s="784"/>
      <c r="BK11" s="784"/>
      <c r="BL11" s="784"/>
      <c r="BM11" s="784"/>
      <c r="BN11" s="784"/>
      <c r="BO11" s="784"/>
      <c r="BP11" s="784"/>
      <c r="BQ11" s="784"/>
      <c r="BR11" s="784"/>
      <c r="BS11" s="784"/>
      <c r="BT11" s="784"/>
      <c r="BU11" s="784"/>
      <c r="BV11" s="784"/>
      <c r="BW11" s="784"/>
      <c r="BX11" s="784"/>
      <c r="BY11" s="784"/>
      <c r="BZ11" s="784"/>
    </row>
    <row r="12" spans="1:78" ht="18" customHeight="1" thickBot="1">
      <c r="A12" s="784"/>
      <c r="B12" s="830"/>
      <c r="C12" s="931" t="s">
        <v>576</v>
      </c>
      <c r="D12" s="932"/>
      <c r="E12" s="897" t="s">
        <v>12</v>
      </c>
      <c r="F12" s="898"/>
      <c r="G12" s="898"/>
      <c r="H12" s="898"/>
      <c r="I12" s="551"/>
      <c r="J12" s="988" t="s">
        <v>13</v>
      </c>
      <c r="K12" s="989"/>
      <c r="L12" s="177" t="s">
        <v>14</v>
      </c>
      <c r="M12" s="979"/>
      <c r="N12" s="984" t="s">
        <v>596</v>
      </c>
      <c r="O12" s="985"/>
      <c r="P12" s="986" t="s">
        <v>615</v>
      </c>
      <c r="Q12" s="987"/>
      <c r="R12" s="553"/>
      <c r="S12" s="554"/>
      <c r="T12" s="380"/>
      <c r="U12" s="784"/>
      <c r="V12" s="784"/>
      <c r="W12" s="784"/>
      <c r="X12" s="784"/>
      <c r="Y12" s="784"/>
      <c r="Z12" s="784"/>
      <c r="AA12" s="784"/>
      <c r="AB12" s="784"/>
      <c r="AC12" s="784"/>
      <c r="AD12" s="784"/>
      <c r="AE12" s="784"/>
      <c r="AF12" s="784"/>
      <c r="AG12" s="784"/>
      <c r="AH12" s="784"/>
      <c r="AI12" s="784"/>
      <c r="AJ12" s="784"/>
      <c r="AK12" s="784"/>
      <c r="AL12" s="784"/>
      <c r="AM12" s="784"/>
      <c r="AN12" s="784"/>
      <c r="AO12" s="784"/>
      <c r="AP12" s="784"/>
      <c r="AQ12" s="784"/>
      <c r="AR12" s="784"/>
      <c r="AS12" s="784"/>
      <c r="AT12" s="784"/>
      <c r="AU12" s="784"/>
      <c r="AV12" s="784"/>
      <c r="AW12" s="784"/>
      <c r="AX12" s="784"/>
      <c r="AY12" s="784"/>
      <c r="AZ12" s="784"/>
      <c r="BA12" s="784"/>
      <c r="BB12" s="784"/>
      <c r="BC12" s="784"/>
      <c r="BD12" s="784"/>
      <c r="BE12" s="784"/>
      <c r="BF12" s="784"/>
      <c r="BG12" s="784"/>
      <c r="BH12" s="784"/>
      <c r="BI12" s="784"/>
      <c r="BJ12" s="784"/>
      <c r="BK12" s="784"/>
      <c r="BL12" s="784"/>
      <c r="BM12" s="784"/>
      <c r="BN12" s="784"/>
      <c r="BO12" s="784"/>
      <c r="BP12" s="784"/>
      <c r="BQ12" s="784"/>
      <c r="BR12" s="784"/>
      <c r="BS12" s="784"/>
      <c r="BT12" s="784"/>
      <c r="BU12" s="784"/>
      <c r="BV12" s="784"/>
      <c r="BW12" s="784"/>
      <c r="BX12" s="784"/>
      <c r="BY12" s="784"/>
      <c r="BZ12" s="784"/>
    </row>
    <row r="13" spans="1:78" ht="18" customHeight="1" thickBot="1">
      <c r="A13" s="784"/>
      <c r="B13" s="830"/>
      <c r="C13" s="931" t="s">
        <v>15</v>
      </c>
      <c r="D13" s="932"/>
      <c r="E13" s="897" t="s">
        <v>16</v>
      </c>
      <c r="F13" s="898"/>
      <c r="G13" s="898"/>
      <c r="H13" s="898"/>
      <c r="I13" s="551"/>
      <c r="J13" s="1043" t="s">
        <v>507</v>
      </c>
      <c r="K13" s="1044"/>
      <c r="L13" s="676"/>
      <c r="M13" s="979"/>
      <c r="N13" s="994" t="s">
        <v>31</v>
      </c>
      <c r="O13" s="995"/>
      <c r="P13" s="995"/>
      <c r="Q13" s="367"/>
      <c r="T13" s="380"/>
      <c r="U13" s="784"/>
      <c r="V13" s="784"/>
      <c r="W13" s="784"/>
      <c r="X13" s="784"/>
      <c r="Y13" s="784"/>
      <c r="Z13" s="784"/>
      <c r="AA13" s="784"/>
      <c r="AB13" s="784"/>
      <c r="AC13" s="784"/>
      <c r="AD13" s="784"/>
      <c r="AE13" s="784"/>
      <c r="AF13" s="784"/>
      <c r="AG13" s="784"/>
      <c r="AH13" s="784"/>
      <c r="AI13" s="784"/>
      <c r="AJ13" s="784"/>
      <c r="AK13" s="784"/>
      <c r="AL13" s="784"/>
      <c r="AM13" s="784"/>
      <c r="AN13" s="784"/>
      <c r="AO13" s="784"/>
      <c r="AP13" s="784"/>
      <c r="AQ13" s="784"/>
      <c r="AR13" s="784"/>
      <c r="AS13" s="784"/>
      <c r="AT13" s="784"/>
      <c r="AU13" s="784"/>
      <c r="AV13" s="784"/>
      <c r="AW13" s="784"/>
      <c r="AX13" s="784"/>
      <c r="AY13" s="784"/>
      <c r="AZ13" s="784"/>
      <c r="BA13" s="784"/>
      <c r="BB13" s="784"/>
      <c r="BC13" s="784"/>
      <c r="BD13" s="784"/>
      <c r="BE13" s="784"/>
      <c r="BF13" s="784"/>
      <c r="BG13" s="784"/>
      <c r="BH13" s="784"/>
      <c r="BI13" s="784"/>
      <c r="BJ13" s="784"/>
      <c r="BK13" s="784"/>
      <c r="BL13" s="784"/>
      <c r="BM13" s="784"/>
      <c r="BN13" s="784"/>
      <c r="BO13" s="784"/>
      <c r="BP13" s="784"/>
      <c r="BQ13" s="784"/>
      <c r="BR13" s="784"/>
      <c r="BS13" s="784"/>
      <c r="BT13" s="784"/>
      <c r="BU13" s="784"/>
      <c r="BV13" s="784"/>
      <c r="BW13" s="784"/>
      <c r="BX13" s="784"/>
      <c r="BY13" s="784"/>
      <c r="BZ13" s="784"/>
    </row>
    <row r="14" spans="1:78" ht="18" customHeight="1" thickBot="1">
      <c r="A14" s="784"/>
      <c r="B14" s="831"/>
      <c r="C14" s="1015" t="s">
        <v>17</v>
      </c>
      <c r="D14" s="1016"/>
      <c r="E14" s="1008" t="s">
        <v>18</v>
      </c>
      <c r="F14" s="1009"/>
      <c r="G14" s="1009"/>
      <c r="H14" s="1009"/>
      <c r="I14" s="551"/>
      <c r="J14" s="1017" t="s">
        <v>594</v>
      </c>
      <c r="K14" s="1018"/>
      <c r="L14" s="180"/>
      <c r="M14" s="979"/>
      <c r="N14" s="918" t="s">
        <v>38</v>
      </c>
      <c r="O14" s="919"/>
      <c r="P14" s="919"/>
      <c r="Q14" s="920"/>
      <c r="R14" s="982" t="s">
        <v>556</v>
      </c>
      <c r="S14" s="990" t="s">
        <v>585</v>
      </c>
      <c r="T14" s="380"/>
      <c r="U14" s="784"/>
      <c r="V14" s="784"/>
      <c r="W14" s="784"/>
      <c r="X14" s="784"/>
      <c r="Y14" s="784"/>
      <c r="Z14" s="784"/>
      <c r="AA14" s="784"/>
      <c r="AB14" s="784"/>
      <c r="AC14" s="784"/>
      <c r="AD14" s="784"/>
      <c r="AE14" s="784"/>
      <c r="AF14" s="784"/>
      <c r="AG14" s="784"/>
      <c r="AH14" s="784"/>
      <c r="AI14" s="784"/>
      <c r="AJ14" s="784"/>
      <c r="AK14" s="795"/>
      <c r="AL14" s="784"/>
      <c r="AM14" s="784"/>
      <c r="AN14" s="784"/>
      <c r="AO14" s="784"/>
      <c r="AP14" s="784"/>
      <c r="AQ14" s="784"/>
      <c r="AR14" s="784"/>
      <c r="AS14" s="784"/>
      <c r="AT14" s="784"/>
      <c r="AU14" s="784"/>
      <c r="AV14" s="784"/>
      <c r="AW14" s="784"/>
      <c r="AX14" s="784"/>
      <c r="AY14" s="784"/>
      <c r="AZ14" s="784"/>
      <c r="BA14" s="784"/>
      <c r="BB14" s="784"/>
      <c r="BC14" s="784"/>
      <c r="BD14" s="784"/>
      <c r="BE14" s="784"/>
      <c r="BF14" s="784"/>
      <c r="BG14" s="784"/>
      <c r="BH14" s="784"/>
      <c r="BI14" s="784"/>
      <c r="BJ14" s="784"/>
      <c r="BK14" s="784"/>
      <c r="BL14" s="784"/>
      <c r="BM14" s="784"/>
      <c r="BN14" s="784"/>
      <c r="BO14" s="784"/>
      <c r="BP14" s="784"/>
      <c r="BQ14" s="784"/>
      <c r="BR14" s="784"/>
      <c r="BS14" s="784"/>
      <c r="BT14" s="784"/>
      <c r="BU14" s="784"/>
      <c r="BV14" s="784"/>
      <c r="BW14" s="784"/>
      <c r="BX14" s="784"/>
      <c r="BY14" s="784"/>
      <c r="BZ14" s="784"/>
    </row>
    <row r="15" spans="1:78" ht="18" customHeight="1" thickBot="1">
      <c r="A15" s="784"/>
      <c r="B15" s="832"/>
      <c r="C15" s="935" t="s">
        <v>573</v>
      </c>
      <c r="D15" s="935"/>
      <c r="E15" s="935"/>
      <c r="F15" s="935"/>
      <c r="G15" s="392"/>
      <c r="H15" s="392"/>
      <c r="I15" s="551"/>
      <c r="J15" s="996" t="s">
        <v>553</v>
      </c>
      <c r="K15" s="997"/>
      <c r="L15" s="171" t="s">
        <v>22</v>
      </c>
      <c r="M15" s="979"/>
      <c r="N15" s="980" t="s">
        <v>623</v>
      </c>
      <c r="O15" s="980"/>
      <c r="P15" s="980"/>
      <c r="Q15" s="981"/>
      <c r="R15" s="983"/>
      <c r="S15" s="991"/>
      <c r="T15" s="380"/>
      <c r="U15" s="784"/>
      <c r="V15" s="784"/>
      <c r="W15" s="784"/>
      <c r="X15" s="784"/>
      <c r="Y15" s="784"/>
      <c r="Z15" s="784"/>
      <c r="AA15" s="784"/>
      <c r="AB15" s="784"/>
      <c r="AC15" s="784"/>
      <c r="AD15" s="784"/>
      <c r="AE15" s="784"/>
      <c r="AF15" s="784"/>
      <c r="AG15" s="784"/>
      <c r="AH15" s="784"/>
      <c r="AI15" s="784"/>
      <c r="AJ15" s="784"/>
      <c r="AK15" s="784"/>
      <c r="AL15" s="784"/>
      <c r="AM15" s="784"/>
      <c r="AN15" s="784"/>
      <c r="AO15" s="784"/>
      <c r="AP15" s="784"/>
      <c r="AQ15" s="784"/>
      <c r="AR15" s="784"/>
      <c r="AS15" s="784"/>
      <c r="AT15" s="784"/>
      <c r="AU15" s="784"/>
      <c r="AV15" s="784"/>
      <c r="AW15" s="784"/>
      <c r="AX15" s="784"/>
      <c r="AY15" s="784"/>
      <c r="AZ15" s="784"/>
      <c r="BA15" s="784"/>
      <c r="BB15" s="784"/>
      <c r="BC15" s="784"/>
      <c r="BD15" s="784"/>
      <c r="BE15" s="784"/>
      <c r="BF15" s="784"/>
      <c r="BG15" s="784"/>
      <c r="BH15" s="784"/>
      <c r="BI15" s="784"/>
      <c r="BJ15" s="784"/>
      <c r="BK15" s="784"/>
      <c r="BL15" s="784"/>
      <c r="BM15" s="784"/>
      <c r="BN15" s="784"/>
      <c r="BO15" s="784"/>
      <c r="BP15" s="784"/>
      <c r="BQ15" s="784"/>
      <c r="BR15" s="784"/>
      <c r="BS15" s="784"/>
      <c r="BT15" s="784"/>
      <c r="BU15" s="784"/>
      <c r="BV15" s="784"/>
      <c r="BW15" s="784"/>
      <c r="BX15" s="784"/>
      <c r="BY15" s="784"/>
      <c r="BZ15" s="784"/>
    </row>
    <row r="16" spans="1:78" ht="18" customHeight="1" thickBot="1">
      <c r="A16" s="784"/>
      <c r="B16" s="827"/>
      <c r="C16" s="1010" t="s">
        <v>41</v>
      </c>
      <c r="D16" s="1011"/>
      <c r="E16" s="1011"/>
      <c r="F16" s="1011"/>
      <c r="G16" s="1011"/>
      <c r="H16" s="1012"/>
      <c r="I16" s="873"/>
      <c r="J16" s="998">
        <f>IF(BQ179=2,"CSS (Principal Amount +Intrest Amount )","")</f>
      </c>
      <c r="K16" s="999"/>
      <c r="L16" s="683"/>
      <c r="M16" s="979"/>
      <c r="N16" s="992" t="s">
        <v>795</v>
      </c>
      <c r="O16" s="992"/>
      <c r="P16" s="992"/>
      <c r="Q16" s="993"/>
      <c r="R16" s="364">
        <v>41730</v>
      </c>
      <c r="S16" s="183">
        <v>41041</v>
      </c>
      <c r="T16" s="380"/>
      <c r="U16" s="784"/>
      <c r="V16" s="784"/>
      <c r="W16" s="784"/>
      <c r="X16" s="784"/>
      <c r="Y16" s="784"/>
      <c r="Z16" s="784"/>
      <c r="AA16" s="784"/>
      <c r="AB16" s="784"/>
      <c r="AC16" s="784"/>
      <c r="AD16" s="784"/>
      <c r="AE16" s="784"/>
      <c r="AF16" s="784"/>
      <c r="AG16" s="784"/>
      <c r="AH16" s="784"/>
      <c r="AI16" s="784"/>
      <c r="AJ16" s="784"/>
      <c r="AK16" s="784"/>
      <c r="AL16" s="784"/>
      <c r="AM16" s="784"/>
      <c r="AN16" s="784"/>
      <c r="AO16" s="784"/>
      <c r="AP16" s="784"/>
      <c r="AQ16" s="784"/>
      <c r="AR16" s="784"/>
      <c r="AS16" s="784"/>
      <c r="AT16" s="784"/>
      <c r="AU16" s="784"/>
      <c r="AV16" s="784"/>
      <c r="AW16" s="784"/>
      <c r="AX16" s="784"/>
      <c r="AY16" s="784"/>
      <c r="AZ16" s="784"/>
      <c r="BA16" s="784"/>
      <c r="BB16" s="784"/>
      <c r="BC16" s="784"/>
      <c r="BD16" s="784"/>
      <c r="BE16" s="784"/>
      <c r="BF16" s="784"/>
      <c r="BG16" s="784"/>
      <c r="BH16" s="784"/>
      <c r="BI16" s="784"/>
      <c r="BJ16" s="784"/>
      <c r="BK16" s="784"/>
      <c r="BL16" s="784"/>
      <c r="BM16" s="784"/>
      <c r="BN16" s="784"/>
      <c r="BO16" s="784"/>
      <c r="BP16" s="784"/>
      <c r="BQ16" s="784"/>
      <c r="BR16" s="784"/>
      <c r="BS16" s="784"/>
      <c r="BT16" s="784"/>
      <c r="BU16" s="784"/>
      <c r="BV16" s="784"/>
      <c r="BW16" s="784"/>
      <c r="BX16" s="784"/>
      <c r="BY16" s="784"/>
      <c r="BZ16" s="784"/>
    </row>
    <row r="17" spans="1:78" ht="18" customHeight="1" thickBot="1">
      <c r="A17" s="784"/>
      <c r="B17" s="387"/>
      <c r="C17" s="1019" t="s">
        <v>45</v>
      </c>
      <c r="D17" s="1019"/>
      <c r="E17" s="1020"/>
      <c r="F17" s="1013" t="s">
        <v>46</v>
      </c>
      <c r="G17" s="1014"/>
      <c r="H17" s="1014"/>
      <c r="I17" s="874"/>
      <c r="J17" s="1021" t="s">
        <v>544</v>
      </c>
      <c r="K17" s="1022"/>
      <c r="L17" s="374"/>
      <c r="M17" s="979"/>
      <c r="N17" s="1006" t="s">
        <v>796</v>
      </c>
      <c r="O17" s="1006"/>
      <c r="P17" s="1006"/>
      <c r="Q17" s="1007"/>
      <c r="R17" s="365">
        <v>41883</v>
      </c>
      <c r="S17" s="184">
        <v>41225</v>
      </c>
      <c r="T17" s="380"/>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84"/>
      <c r="BX17" s="784"/>
      <c r="BY17" s="784"/>
      <c r="BZ17" s="784"/>
    </row>
    <row r="18" spans="1:78" ht="18" customHeight="1" thickBot="1">
      <c r="A18" s="784"/>
      <c r="B18" s="387"/>
      <c r="C18" s="890" t="s">
        <v>48</v>
      </c>
      <c r="D18" s="890"/>
      <c r="E18" s="891"/>
      <c r="F18" s="946" t="s">
        <v>49</v>
      </c>
      <c r="G18" s="947"/>
      <c r="H18" s="947"/>
      <c r="I18" s="874"/>
      <c r="J18" s="944" t="s">
        <v>536</v>
      </c>
      <c r="K18" s="945"/>
      <c r="L18" s="552"/>
      <c r="M18" s="979"/>
      <c r="N18" s="924" t="s">
        <v>797</v>
      </c>
      <c r="O18" s="924"/>
      <c r="P18" s="924"/>
      <c r="Q18" s="925"/>
      <c r="R18" s="940">
        <f>BF281</f>
        <v>41760</v>
      </c>
      <c r="S18" s="941"/>
      <c r="T18" s="380"/>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c r="BJ18" s="784"/>
      <c r="BK18" s="784"/>
      <c r="BL18" s="784"/>
      <c r="BM18" s="784"/>
      <c r="BN18" s="784"/>
      <c r="BO18" s="784"/>
      <c r="BP18" s="784"/>
      <c r="BQ18" s="784"/>
      <c r="BR18" s="784"/>
      <c r="BS18" s="784"/>
      <c r="BT18" s="784"/>
      <c r="BU18" s="784"/>
      <c r="BV18" s="784"/>
      <c r="BW18" s="784"/>
      <c r="BX18" s="784"/>
      <c r="BY18" s="784"/>
      <c r="BZ18" s="784"/>
    </row>
    <row r="19" spans="1:78" ht="18" customHeight="1" thickBot="1">
      <c r="A19" s="784"/>
      <c r="B19" s="388"/>
      <c r="C19" s="890" t="s">
        <v>53</v>
      </c>
      <c r="D19" s="890"/>
      <c r="E19" s="891"/>
      <c r="F19" s="946" t="s">
        <v>829</v>
      </c>
      <c r="G19" s="947"/>
      <c r="H19" s="947"/>
      <c r="I19" s="874"/>
      <c r="J19" s="370" t="s">
        <v>545</v>
      </c>
      <c r="K19" s="366" t="s">
        <v>577</v>
      </c>
      <c r="L19" s="359"/>
      <c r="M19" s="979"/>
      <c r="N19" s="926" t="s">
        <v>798</v>
      </c>
      <c r="O19" s="927"/>
      <c r="P19" s="927"/>
      <c r="Q19" s="928"/>
      <c r="R19" s="940">
        <f>BF299</f>
        <v>41913</v>
      </c>
      <c r="S19" s="941"/>
      <c r="T19" s="380"/>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c r="BJ19" s="784"/>
      <c r="BK19" s="784"/>
      <c r="BL19" s="784"/>
      <c r="BM19" s="784"/>
      <c r="BN19" s="784"/>
      <c r="BO19" s="784"/>
      <c r="BP19" s="784"/>
      <c r="BQ19" s="784"/>
      <c r="BR19" s="784"/>
      <c r="BS19" s="784"/>
      <c r="BT19" s="784"/>
      <c r="BU19" s="784"/>
      <c r="BV19" s="784"/>
      <c r="BW19" s="784"/>
      <c r="BX19" s="784"/>
      <c r="BY19" s="784"/>
      <c r="BZ19" s="784"/>
    </row>
    <row r="20" spans="1:78" ht="18" customHeight="1" thickBot="1">
      <c r="A20" s="784"/>
      <c r="B20" s="388"/>
      <c r="C20" s="890" t="s">
        <v>56</v>
      </c>
      <c r="D20" s="890"/>
      <c r="E20" s="891"/>
      <c r="F20" s="946" t="s">
        <v>16</v>
      </c>
      <c r="G20" s="947"/>
      <c r="H20" s="947"/>
      <c r="I20" s="874"/>
      <c r="J20" s="933" t="s">
        <v>593</v>
      </c>
      <c r="K20" s="934"/>
      <c r="L20" s="368"/>
      <c r="M20" s="979"/>
      <c r="N20" s="892" t="s">
        <v>50</v>
      </c>
      <c r="O20" s="892"/>
      <c r="P20" s="867" t="s">
        <v>51</v>
      </c>
      <c r="Q20" s="868"/>
      <c r="R20" s="358"/>
      <c r="S20" s="346"/>
      <c r="T20" s="380"/>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c r="BJ20" s="784"/>
      <c r="BK20" s="784"/>
      <c r="BL20" s="784"/>
      <c r="BM20" s="784"/>
      <c r="BN20" s="784"/>
      <c r="BO20" s="784"/>
      <c r="BP20" s="784"/>
      <c r="BQ20" s="784"/>
      <c r="BR20" s="784"/>
      <c r="BS20" s="784"/>
      <c r="BT20" s="784"/>
      <c r="BU20" s="784"/>
      <c r="BV20" s="784"/>
      <c r="BW20" s="784"/>
      <c r="BX20" s="784"/>
      <c r="BY20" s="784"/>
      <c r="BZ20" s="784"/>
    </row>
    <row r="21" spans="1:78" ht="18" customHeight="1" thickBot="1">
      <c r="A21" s="784"/>
      <c r="B21" s="388"/>
      <c r="C21" s="948" t="s">
        <v>559</v>
      </c>
      <c r="D21" s="948"/>
      <c r="E21" s="949"/>
      <c r="F21" s="946"/>
      <c r="G21" s="947"/>
      <c r="H21" s="947"/>
      <c r="I21" s="874"/>
      <c r="J21" s="899" t="s">
        <v>603</v>
      </c>
      <c r="K21" s="900"/>
      <c r="L21" s="682"/>
      <c r="M21" s="979"/>
      <c r="N21" s="892"/>
      <c r="O21" s="892"/>
      <c r="P21" s="871" t="s">
        <v>54</v>
      </c>
      <c r="Q21" s="872"/>
      <c r="R21" s="358"/>
      <c r="S21" s="346"/>
      <c r="T21" s="380"/>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84"/>
      <c r="BX21" s="784"/>
      <c r="BY21" s="784"/>
      <c r="BZ21" s="784"/>
    </row>
    <row r="22" spans="1:78" ht="18" customHeight="1" thickBot="1">
      <c r="A22" s="784"/>
      <c r="B22" s="388"/>
      <c r="C22" s="936" t="s">
        <v>575</v>
      </c>
      <c r="D22" s="936"/>
      <c r="E22" s="937"/>
      <c r="F22" s="938"/>
      <c r="G22" s="939"/>
      <c r="H22" s="939"/>
      <c r="I22" s="875"/>
      <c r="J22" s="877" t="s">
        <v>587</v>
      </c>
      <c r="K22" s="878"/>
      <c r="L22" s="878"/>
      <c r="M22" s="878"/>
      <c r="N22" s="878"/>
      <c r="O22" s="878"/>
      <c r="P22" s="879"/>
      <c r="Q22" s="886" t="s">
        <v>578</v>
      </c>
      <c r="R22" s="886"/>
      <c r="S22" s="886"/>
      <c r="T22" s="381"/>
      <c r="U22" s="784"/>
      <c r="V22" s="784"/>
      <c r="W22" s="784"/>
      <c r="X22" s="784"/>
      <c r="Y22" s="784"/>
      <c r="Z22" s="784"/>
      <c r="AA22" s="784"/>
      <c r="AB22" s="784"/>
      <c r="AC22" s="784"/>
      <c r="AD22" s="784"/>
      <c r="AE22" s="784"/>
      <c r="AF22" s="784"/>
      <c r="AG22" s="784"/>
      <c r="AH22" s="784"/>
      <c r="AI22" s="784"/>
      <c r="AJ22" s="784"/>
      <c r="AK22" s="784"/>
      <c r="AL22" s="784"/>
      <c r="AM22" s="784"/>
      <c r="AN22" s="784"/>
      <c r="AO22" s="784"/>
      <c r="AP22" s="784"/>
      <c r="AQ22" s="784"/>
      <c r="AR22" s="784"/>
      <c r="AS22" s="784"/>
      <c r="AT22" s="784"/>
      <c r="AU22" s="784"/>
      <c r="AV22" s="784"/>
      <c r="AW22" s="784"/>
      <c r="AX22" s="784"/>
      <c r="AY22" s="784"/>
      <c r="AZ22" s="784"/>
      <c r="BA22" s="784"/>
      <c r="BB22" s="784"/>
      <c r="BC22" s="784"/>
      <c r="BD22" s="784"/>
      <c r="BE22" s="784"/>
      <c r="BF22" s="784"/>
      <c r="BG22" s="784"/>
      <c r="BH22" s="784"/>
      <c r="BI22" s="784"/>
      <c r="BJ22" s="784"/>
      <c r="BK22" s="784"/>
      <c r="BL22" s="784"/>
      <c r="BM22" s="784"/>
      <c r="BN22" s="784"/>
      <c r="BO22" s="784"/>
      <c r="BP22" s="784"/>
      <c r="BQ22" s="784"/>
      <c r="BR22" s="784"/>
      <c r="BS22" s="784"/>
      <c r="BT22" s="784"/>
      <c r="BU22" s="784"/>
      <c r="BV22" s="784"/>
      <c r="BW22" s="784"/>
      <c r="BX22" s="784"/>
      <c r="BY22" s="784"/>
      <c r="BZ22" s="784"/>
    </row>
    <row r="23" spans="1:78" ht="18" customHeight="1" thickBot="1">
      <c r="A23" s="784"/>
      <c r="B23" s="828"/>
      <c r="C23" s="877" t="s">
        <v>40</v>
      </c>
      <c r="D23" s="878"/>
      <c r="E23" s="878"/>
      <c r="F23" s="878"/>
      <c r="G23" s="878"/>
      <c r="H23" s="879"/>
      <c r="I23" s="873"/>
      <c r="J23" s="952" t="s">
        <v>799</v>
      </c>
      <c r="K23" s="952"/>
      <c r="L23" s="829" t="s">
        <v>551</v>
      </c>
      <c r="M23" s="893" t="s">
        <v>3</v>
      </c>
      <c r="N23" s="894"/>
      <c r="O23" s="172" t="s">
        <v>551</v>
      </c>
      <c r="P23" s="173" t="s">
        <v>552</v>
      </c>
      <c r="Q23" s="912" t="s">
        <v>777</v>
      </c>
      <c r="R23" s="913"/>
      <c r="S23" s="676"/>
      <c r="T23" s="380"/>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c r="BU23" s="784"/>
      <c r="BV23" s="784"/>
      <c r="BW23" s="784"/>
      <c r="BX23" s="784"/>
      <c r="BY23" s="784"/>
      <c r="BZ23" s="784"/>
    </row>
    <row r="24" spans="1:78" ht="18" customHeight="1" thickBot="1">
      <c r="A24" s="784"/>
      <c r="B24" s="388"/>
      <c r="C24" s="882" t="s">
        <v>43</v>
      </c>
      <c r="D24" s="882"/>
      <c r="E24" s="882"/>
      <c r="F24" s="883"/>
      <c r="G24" s="942" t="s">
        <v>44</v>
      </c>
      <c r="H24" s="943"/>
      <c r="I24" s="874"/>
      <c r="J24" s="870"/>
      <c r="K24" s="870"/>
      <c r="L24" s="174">
        <v>1000</v>
      </c>
      <c r="M24" s="895"/>
      <c r="N24" s="896"/>
      <c r="O24" s="360"/>
      <c r="P24" s="175">
        <v>40980</v>
      </c>
      <c r="Q24" s="912" t="s">
        <v>778</v>
      </c>
      <c r="R24" s="913"/>
      <c r="S24" s="677"/>
      <c r="T24" s="380"/>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84"/>
      <c r="AV24" s="784"/>
      <c r="AW24" s="784"/>
      <c r="AX24" s="784"/>
      <c r="AY24" s="784"/>
      <c r="AZ24" s="784"/>
      <c r="BA24" s="784"/>
      <c r="BB24" s="784"/>
      <c r="BC24" s="784"/>
      <c r="BD24" s="784"/>
      <c r="BE24" s="784"/>
      <c r="BF24" s="784"/>
      <c r="BG24" s="784"/>
      <c r="BH24" s="784"/>
      <c r="BI24" s="784"/>
      <c r="BJ24" s="784"/>
      <c r="BK24" s="784"/>
      <c r="BL24" s="784"/>
      <c r="BM24" s="784"/>
      <c r="BN24" s="784"/>
      <c r="BO24" s="784"/>
      <c r="BP24" s="784"/>
      <c r="BQ24" s="784"/>
      <c r="BR24" s="784"/>
      <c r="BS24" s="784"/>
      <c r="BT24" s="784"/>
      <c r="BU24" s="784"/>
      <c r="BV24" s="784"/>
      <c r="BW24" s="784"/>
      <c r="BX24" s="784"/>
      <c r="BY24" s="784"/>
      <c r="BZ24" s="784"/>
    </row>
    <row r="25" spans="1:78" ht="18" customHeight="1" thickBot="1">
      <c r="A25" s="784"/>
      <c r="B25" s="388"/>
      <c r="C25" s="383"/>
      <c r="D25" s="362"/>
      <c r="E25" s="362"/>
      <c r="F25" s="362"/>
      <c r="G25" s="880"/>
      <c r="H25" s="881"/>
      <c r="I25" s="874"/>
      <c r="J25" s="869" t="s">
        <v>800</v>
      </c>
      <c r="K25" s="869"/>
      <c r="L25" s="178" t="s">
        <v>551</v>
      </c>
      <c r="M25" s="961" t="s">
        <v>9</v>
      </c>
      <c r="N25" s="962"/>
      <c r="O25" s="172" t="s">
        <v>551</v>
      </c>
      <c r="P25" s="173" t="s">
        <v>552</v>
      </c>
      <c r="Q25" s="912" t="s">
        <v>779</v>
      </c>
      <c r="R25" s="913"/>
      <c r="S25" s="676"/>
      <c r="T25" s="380"/>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84"/>
      <c r="BX25" s="784"/>
      <c r="BY25" s="784"/>
      <c r="BZ25" s="784"/>
    </row>
    <row r="26" spans="1:78" ht="18" customHeight="1" thickBot="1">
      <c r="A26" s="784"/>
      <c r="B26" s="388"/>
      <c r="C26" s="384"/>
      <c r="D26" s="354"/>
      <c r="E26" s="354"/>
      <c r="F26" s="354"/>
      <c r="G26" s="880"/>
      <c r="H26" s="881"/>
      <c r="I26" s="874"/>
      <c r="J26" s="870"/>
      <c r="K26" s="870"/>
      <c r="L26" s="174">
        <v>1000</v>
      </c>
      <c r="M26" s="963"/>
      <c r="N26" s="964"/>
      <c r="O26" s="360"/>
      <c r="P26" s="175">
        <v>40980</v>
      </c>
      <c r="Q26" s="929">
        <v>41974</v>
      </c>
      <c r="R26" s="930"/>
      <c r="S26" s="676"/>
      <c r="T26" s="380"/>
      <c r="U26" s="784"/>
      <c r="V26" s="784"/>
      <c r="W26" s="784"/>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784"/>
      <c r="AV26" s="784"/>
      <c r="AW26" s="784"/>
      <c r="AX26" s="784"/>
      <c r="AY26" s="784"/>
      <c r="AZ26" s="784"/>
      <c r="BA26" s="784"/>
      <c r="BB26" s="784"/>
      <c r="BC26" s="784"/>
      <c r="BD26" s="784"/>
      <c r="BE26" s="784"/>
      <c r="BF26" s="784"/>
      <c r="BG26" s="784"/>
      <c r="BH26" s="784"/>
      <c r="BI26" s="784"/>
      <c r="BJ26" s="784"/>
      <c r="BK26" s="784"/>
      <c r="BL26" s="784"/>
      <c r="BM26" s="784"/>
      <c r="BN26" s="784"/>
      <c r="BO26" s="784"/>
      <c r="BP26" s="784"/>
      <c r="BQ26" s="784"/>
      <c r="BR26" s="784"/>
      <c r="BS26" s="784"/>
      <c r="BT26" s="784"/>
      <c r="BU26" s="784"/>
      <c r="BV26" s="784"/>
      <c r="BW26" s="784"/>
      <c r="BX26" s="784"/>
      <c r="BY26" s="784"/>
      <c r="BZ26" s="784"/>
    </row>
    <row r="27" spans="1:78" ht="18" customHeight="1" thickBot="1">
      <c r="A27" s="784"/>
      <c r="B27" s="388"/>
      <c r="C27" s="384"/>
      <c r="D27" s="354"/>
      <c r="E27" s="354"/>
      <c r="F27" s="354"/>
      <c r="G27" s="880"/>
      <c r="H27" s="881"/>
      <c r="I27" s="874"/>
      <c r="J27" s="953" t="s">
        <v>801</v>
      </c>
      <c r="K27" s="954"/>
      <c r="L27" s="178" t="s">
        <v>551</v>
      </c>
      <c r="M27" s="965" t="s">
        <v>508</v>
      </c>
      <c r="N27" s="966"/>
      <c r="O27" s="172" t="s">
        <v>551</v>
      </c>
      <c r="P27" s="173" t="s">
        <v>552</v>
      </c>
      <c r="Q27" s="929">
        <v>42005</v>
      </c>
      <c r="R27" s="930"/>
      <c r="S27" s="678"/>
      <c r="T27" s="380"/>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4"/>
      <c r="BJ27" s="784"/>
      <c r="BK27" s="784"/>
      <c r="BL27" s="784"/>
      <c r="BM27" s="784"/>
      <c r="BN27" s="784"/>
      <c r="BO27" s="784"/>
      <c r="BP27" s="784"/>
      <c r="BQ27" s="784"/>
      <c r="BR27" s="784"/>
      <c r="BS27" s="784"/>
      <c r="BT27" s="784"/>
      <c r="BU27" s="784"/>
      <c r="BV27" s="784"/>
      <c r="BW27" s="784"/>
      <c r="BX27" s="784"/>
      <c r="BY27" s="784"/>
      <c r="BZ27" s="784"/>
    </row>
    <row r="28" spans="1:78" ht="18" customHeight="1" thickBot="1">
      <c r="A28" s="784"/>
      <c r="B28" s="388"/>
      <c r="C28" s="185"/>
      <c r="D28" s="185"/>
      <c r="E28" s="185"/>
      <c r="F28" s="186"/>
      <c r="G28" s="880"/>
      <c r="H28" s="881"/>
      <c r="I28" s="874"/>
      <c r="J28" s="955"/>
      <c r="K28" s="956"/>
      <c r="L28" s="179"/>
      <c r="M28" s="895"/>
      <c r="N28" s="896"/>
      <c r="O28" s="360">
        <v>60</v>
      </c>
      <c r="P28" s="175">
        <v>41164</v>
      </c>
      <c r="Q28" s="929">
        <v>42036</v>
      </c>
      <c r="R28" s="930"/>
      <c r="S28" s="679"/>
      <c r="T28" s="380"/>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4"/>
      <c r="AY28" s="784"/>
      <c r="AZ28" s="784"/>
      <c r="BA28" s="784"/>
      <c r="BB28" s="784"/>
      <c r="BC28" s="784"/>
      <c r="BD28" s="784"/>
      <c r="BE28" s="784"/>
      <c r="BF28" s="784"/>
      <c r="BG28" s="784"/>
      <c r="BH28" s="784"/>
      <c r="BI28" s="784"/>
      <c r="BJ28" s="784"/>
      <c r="BK28" s="784"/>
      <c r="BL28" s="784"/>
      <c r="BM28" s="784"/>
      <c r="BN28" s="784"/>
      <c r="BO28" s="784"/>
      <c r="BP28" s="784"/>
      <c r="BQ28" s="784"/>
      <c r="BR28" s="784"/>
      <c r="BS28" s="784"/>
      <c r="BT28" s="784"/>
      <c r="BU28" s="784"/>
      <c r="BV28" s="784"/>
      <c r="BW28" s="784"/>
      <c r="BX28" s="784"/>
      <c r="BY28" s="784"/>
      <c r="BZ28" s="784"/>
    </row>
    <row r="29" spans="1:78" ht="18" customHeight="1" thickBot="1">
      <c r="A29" s="784"/>
      <c r="B29" s="388"/>
      <c r="C29" s="1057" t="s">
        <v>58</v>
      </c>
      <c r="D29" s="1057"/>
      <c r="E29" s="1057"/>
      <c r="F29" s="1058"/>
      <c r="G29" s="880"/>
      <c r="H29" s="881"/>
      <c r="I29" s="874"/>
      <c r="J29" s="546" t="s">
        <v>20</v>
      </c>
      <c r="K29" s="1052">
        <v>56987</v>
      </c>
      <c r="L29" s="1053"/>
      <c r="M29" s="1051" t="s">
        <v>21</v>
      </c>
      <c r="N29" s="1051"/>
      <c r="O29" s="1051"/>
      <c r="P29" s="357"/>
      <c r="Q29" s="884" t="s">
        <v>30</v>
      </c>
      <c r="R29" s="885"/>
      <c r="S29" s="377">
        <f>SUM(S23:S28)</f>
        <v>0</v>
      </c>
      <c r="T29" s="380"/>
      <c r="U29" s="796"/>
      <c r="V29" s="796"/>
      <c r="W29" s="796"/>
      <c r="X29" s="796"/>
      <c r="Y29" s="796"/>
      <c r="Z29" s="797"/>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84"/>
      <c r="BX29" s="784"/>
      <c r="BY29" s="784"/>
      <c r="BZ29" s="784"/>
    </row>
    <row r="30" spans="1:78" ht="18" customHeight="1" thickBot="1">
      <c r="A30" s="784"/>
      <c r="B30" s="388"/>
      <c r="C30" s="1059" t="s">
        <v>580</v>
      </c>
      <c r="D30" s="1059"/>
      <c r="E30" s="1059"/>
      <c r="F30" s="1060"/>
      <c r="G30" s="880"/>
      <c r="H30" s="881"/>
      <c r="I30" s="874"/>
      <c r="J30" s="547" t="s">
        <v>23</v>
      </c>
      <c r="K30" s="880" t="s">
        <v>586</v>
      </c>
      <c r="L30" s="967"/>
      <c r="M30" s="1051" t="s">
        <v>24</v>
      </c>
      <c r="N30" s="1051"/>
      <c r="O30" s="1051"/>
      <c r="P30" s="357"/>
      <c r="Q30" s="396"/>
      <c r="R30" s="1097" t="s">
        <v>592</v>
      </c>
      <c r="S30" s="1098"/>
      <c r="T30" s="380"/>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4"/>
      <c r="AY30" s="784"/>
      <c r="AZ30" s="784"/>
      <c r="BA30" s="784"/>
      <c r="BB30" s="784"/>
      <c r="BC30" s="784"/>
      <c r="BD30" s="784"/>
      <c r="BE30" s="784"/>
      <c r="BF30" s="784"/>
      <c r="BG30" s="784"/>
      <c r="BH30" s="784"/>
      <c r="BI30" s="784"/>
      <c r="BJ30" s="784"/>
      <c r="BK30" s="784"/>
      <c r="BL30" s="784"/>
      <c r="BM30" s="784"/>
      <c r="BN30" s="784"/>
      <c r="BO30" s="784"/>
      <c r="BP30" s="784"/>
      <c r="BQ30" s="784"/>
      <c r="BR30" s="784"/>
      <c r="BS30" s="784"/>
      <c r="BT30" s="784"/>
      <c r="BU30" s="784"/>
      <c r="BV30" s="784"/>
      <c r="BW30" s="784"/>
      <c r="BX30" s="784"/>
      <c r="BY30" s="784"/>
      <c r="BZ30" s="784"/>
    </row>
    <row r="31" spans="1:78" ht="18" customHeight="1" thickBot="1">
      <c r="A31" s="784"/>
      <c r="B31" s="388"/>
      <c r="C31" s="1061" t="s">
        <v>59</v>
      </c>
      <c r="D31" s="1061"/>
      <c r="E31" s="1061"/>
      <c r="F31" s="1062"/>
      <c r="G31" s="1063" t="s">
        <v>44</v>
      </c>
      <c r="H31" s="1064"/>
      <c r="I31" s="874"/>
      <c r="J31" s="907" t="s">
        <v>554</v>
      </c>
      <c r="K31" s="908"/>
      <c r="L31" s="680"/>
      <c r="M31" s="957" t="s">
        <v>27</v>
      </c>
      <c r="N31" s="958"/>
      <c r="O31" s="681"/>
      <c r="P31" s="395">
        <v>41011</v>
      </c>
      <c r="Q31" s="555"/>
      <c r="R31" s="1099"/>
      <c r="S31" s="1100"/>
      <c r="T31" s="380"/>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784"/>
      <c r="BK31" s="784"/>
      <c r="BL31" s="784"/>
      <c r="BM31" s="784"/>
      <c r="BN31" s="784"/>
      <c r="BO31" s="784"/>
      <c r="BP31" s="784"/>
      <c r="BQ31" s="784"/>
      <c r="BR31" s="784"/>
      <c r="BS31" s="784"/>
      <c r="BT31" s="784"/>
      <c r="BU31" s="784"/>
      <c r="BV31" s="784"/>
      <c r="BW31" s="784"/>
      <c r="BX31" s="784"/>
      <c r="BY31" s="784"/>
      <c r="BZ31" s="784"/>
    </row>
    <row r="32" spans="1:78" ht="18" customHeight="1" thickBot="1">
      <c r="A32" s="784"/>
      <c r="B32" s="388"/>
      <c r="C32" s="363"/>
      <c r="D32" s="363"/>
      <c r="E32" s="363"/>
      <c r="F32" s="363"/>
      <c r="G32" s="880"/>
      <c r="H32" s="881"/>
      <c r="I32" s="874"/>
      <c r="J32" s="1067" t="s">
        <v>606</v>
      </c>
      <c r="K32" s="1068"/>
      <c r="L32" s="1068"/>
      <c r="M32" s="1068"/>
      <c r="N32" s="1068"/>
      <c r="O32" s="1068"/>
      <c r="P32" s="1068"/>
      <c r="Q32" s="1068"/>
      <c r="R32" s="1099"/>
      <c r="S32" s="1100"/>
      <c r="T32" s="380"/>
      <c r="U32" s="784"/>
      <c r="V32" s="784"/>
      <c r="W32" s="784"/>
      <c r="X32" s="784"/>
      <c r="Y32" s="784"/>
      <c r="Z32" s="784"/>
      <c r="AA32" s="784"/>
      <c r="AB32" s="784"/>
      <c r="AC32" s="784"/>
      <c r="AD32" s="784"/>
      <c r="AE32" s="784"/>
      <c r="AF32" s="784"/>
      <c r="AG32" s="784"/>
      <c r="AH32" s="784"/>
      <c r="AI32" s="784"/>
      <c r="AJ32" s="784"/>
      <c r="AK32" s="784"/>
      <c r="AL32" s="784"/>
      <c r="AM32" s="784"/>
      <c r="AN32" s="784"/>
      <c r="AO32" s="784"/>
      <c r="AP32" s="784"/>
      <c r="AQ32" s="784"/>
      <c r="AR32" s="784"/>
      <c r="AS32" s="784"/>
      <c r="AT32" s="784"/>
      <c r="AU32" s="784"/>
      <c r="AV32" s="784"/>
      <c r="AW32" s="784"/>
      <c r="AX32" s="784"/>
      <c r="AY32" s="784"/>
      <c r="AZ32" s="784"/>
      <c r="BA32" s="784"/>
      <c r="BB32" s="784"/>
      <c r="BC32" s="784"/>
      <c r="BD32" s="784"/>
      <c r="BE32" s="784"/>
      <c r="BF32" s="784"/>
      <c r="BG32" s="784"/>
      <c r="BH32" s="784"/>
      <c r="BI32" s="784"/>
      <c r="BJ32" s="784"/>
      <c r="BK32" s="784"/>
      <c r="BL32" s="784"/>
      <c r="BM32" s="784"/>
      <c r="BN32" s="784"/>
      <c r="BO32" s="784"/>
      <c r="BP32" s="784"/>
      <c r="BQ32" s="784"/>
      <c r="BR32" s="784"/>
      <c r="BS32" s="784"/>
      <c r="BT32" s="784"/>
      <c r="BU32" s="784"/>
      <c r="BV32" s="784"/>
      <c r="BW32" s="784"/>
      <c r="BX32" s="784"/>
      <c r="BY32" s="784"/>
      <c r="BZ32" s="784"/>
    </row>
    <row r="33" spans="1:78" ht="18" customHeight="1" thickBot="1">
      <c r="A33" s="784"/>
      <c r="B33" s="388"/>
      <c r="C33" s="385" t="s">
        <v>60</v>
      </c>
      <c r="D33" s="355"/>
      <c r="E33" s="355"/>
      <c r="F33" s="355"/>
      <c r="G33" s="880"/>
      <c r="H33" s="881"/>
      <c r="I33" s="874"/>
      <c r="J33" s="556" t="s">
        <v>555</v>
      </c>
      <c r="K33" s="557" t="s">
        <v>32</v>
      </c>
      <c r="L33" s="959" t="s">
        <v>33</v>
      </c>
      <c r="M33" s="959"/>
      <c r="N33" s="557" t="s">
        <v>34</v>
      </c>
      <c r="O33" s="557" t="s">
        <v>35</v>
      </c>
      <c r="P33" s="557" t="s">
        <v>36</v>
      </c>
      <c r="Q33" s="756" t="s">
        <v>37</v>
      </c>
      <c r="R33" s="1099"/>
      <c r="S33" s="1100"/>
      <c r="T33" s="380"/>
      <c r="U33" s="784"/>
      <c r="V33" s="784"/>
      <c r="W33" s="784"/>
      <c r="X33" s="784"/>
      <c r="Y33" s="784"/>
      <c r="Z33" s="784"/>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84"/>
      <c r="BX33" s="784"/>
      <c r="BY33" s="784"/>
      <c r="BZ33" s="784"/>
    </row>
    <row r="34" spans="1:78" ht="18" customHeight="1" thickBot="1">
      <c r="A34" s="784"/>
      <c r="B34" s="388"/>
      <c r="C34" s="386" t="s">
        <v>61</v>
      </c>
      <c r="D34" s="356"/>
      <c r="E34" s="356"/>
      <c r="F34" s="356"/>
      <c r="G34" s="880"/>
      <c r="H34" s="881"/>
      <c r="I34" s="874"/>
      <c r="J34" s="739" t="s">
        <v>39</v>
      </c>
      <c r="K34" s="674"/>
      <c r="L34" s="960"/>
      <c r="M34" s="960"/>
      <c r="N34" s="675"/>
      <c r="O34" s="675"/>
      <c r="P34" s="675"/>
      <c r="Q34" s="757"/>
      <c r="R34" s="1101"/>
      <c r="S34" s="1102"/>
      <c r="T34" s="380"/>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c r="AX34" s="784"/>
      <c r="AY34" s="784"/>
      <c r="AZ34" s="784"/>
      <c r="BA34" s="784"/>
      <c r="BB34" s="784"/>
      <c r="BC34" s="784"/>
      <c r="BD34" s="784"/>
      <c r="BE34" s="784"/>
      <c r="BF34" s="784"/>
      <c r="BG34" s="784"/>
      <c r="BH34" s="784"/>
      <c r="BI34" s="784"/>
      <c r="BJ34" s="784"/>
      <c r="BK34" s="784"/>
      <c r="BL34" s="784"/>
      <c r="BM34" s="784"/>
      <c r="BN34" s="784"/>
      <c r="BO34" s="784"/>
      <c r="BP34" s="784"/>
      <c r="BQ34" s="784"/>
      <c r="BR34" s="784"/>
      <c r="BS34" s="784"/>
      <c r="BT34" s="784"/>
      <c r="BU34" s="784"/>
      <c r="BV34" s="784"/>
      <c r="BW34" s="784"/>
      <c r="BX34" s="784"/>
      <c r="BY34" s="784"/>
      <c r="BZ34" s="784"/>
    </row>
    <row r="35" spans="1:78" ht="18" customHeight="1" thickBot="1">
      <c r="A35" s="784"/>
      <c r="B35" s="388"/>
      <c r="C35" s="1065"/>
      <c r="D35" s="1065"/>
      <c r="E35" s="1065"/>
      <c r="F35" s="1066"/>
      <c r="G35" s="897"/>
      <c r="H35" s="898"/>
      <c r="I35" s="876"/>
      <c r="J35" s="836" t="s">
        <v>629</v>
      </c>
      <c r="K35" s="837"/>
      <c r="L35" s="838"/>
      <c r="M35" s="839"/>
      <c r="N35" s="1094" t="s">
        <v>630</v>
      </c>
      <c r="O35" s="1095"/>
      <c r="P35" s="1095"/>
      <c r="Q35" s="1095"/>
      <c r="R35" s="1096"/>
      <c r="S35" s="569"/>
      <c r="T35" s="380"/>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784"/>
      <c r="BK35" s="784"/>
      <c r="BL35" s="784"/>
      <c r="BM35" s="784"/>
      <c r="BN35" s="784"/>
      <c r="BO35" s="784"/>
      <c r="BP35" s="784"/>
      <c r="BQ35" s="784"/>
      <c r="BR35" s="784"/>
      <c r="BS35" s="784"/>
      <c r="BT35" s="784"/>
      <c r="BU35" s="784"/>
      <c r="BV35" s="784"/>
      <c r="BW35" s="784"/>
      <c r="BX35" s="784"/>
      <c r="BY35" s="784"/>
      <c r="BZ35" s="784"/>
    </row>
    <row r="36" spans="1:78" ht="18" customHeight="1">
      <c r="A36" s="784"/>
      <c r="B36" s="389"/>
      <c r="C36" s="371"/>
      <c r="D36" s="371"/>
      <c r="E36" s="887" t="s">
        <v>589</v>
      </c>
      <c r="F36" s="888"/>
      <c r="G36" s="889"/>
      <c r="H36" s="1074" t="s">
        <v>624</v>
      </c>
      <c r="I36" s="1075"/>
      <c r="J36" s="1076"/>
      <c r="K36" s="1091" t="str">
        <f>IF(BW271=1,"Health Premium Deduction","")</f>
        <v>Health Premium Deduction</v>
      </c>
      <c r="L36" s="1092"/>
      <c r="M36" s="1093"/>
      <c r="N36" s="740" t="s">
        <v>626</v>
      </c>
      <c r="O36" s="570"/>
      <c r="P36" s="571"/>
      <c r="Q36" s="1115"/>
      <c r="R36" s="1116"/>
      <c r="S36" s="753"/>
      <c r="T36" s="380"/>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c r="BU36" s="784"/>
      <c r="BV36" s="784"/>
      <c r="BW36" s="784"/>
      <c r="BX36" s="784"/>
      <c r="BY36" s="784"/>
      <c r="BZ36" s="784"/>
    </row>
    <row r="37" spans="1:78" ht="18" customHeight="1">
      <c r="A37" s="784"/>
      <c r="B37" s="390"/>
      <c r="C37" s="371"/>
      <c r="D37" s="371"/>
      <c r="E37" s="887"/>
      <c r="F37" s="888"/>
      <c r="G37" s="889"/>
      <c r="H37" s="1077">
        <f>IF(BW271=2,"Telangana Inc.","")</f>
      </c>
      <c r="I37" s="1078"/>
      <c r="J37" s="1079"/>
      <c r="K37" s="1080">
        <v>450</v>
      </c>
      <c r="L37" s="1081"/>
      <c r="M37" s="1082"/>
      <c r="N37" s="1117" t="s">
        <v>627</v>
      </c>
      <c r="O37" s="1118"/>
      <c r="P37" s="1119"/>
      <c r="Q37" s="1120"/>
      <c r="R37" s="1121"/>
      <c r="S37" s="754"/>
      <c r="T37" s="380"/>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84"/>
      <c r="BX37" s="784"/>
      <c r="BY37" s="784"/>
      <c r="BZ37" s="784"/>
    </row>
    <row r="38" spans="1:78" ht="18" customHeight="1">
      <c r="A38" s="784"/>
      <c r="B38" s="390"/>
      <c r="C38" s="372"/>
      <c r="D38" s="371"/>
      <c r="E38" s="887"/>
      <c r="F38" s="888"/>
      <c r="G38" s="889"/>
      <c r="H38" s="1083" t="str">
        <f>IF(BW271=1,"Health Card Premium in AP","")</f>
        <v>Health Card Premium in AP</v>
      </c>
      <c r="I38" s="1084"/>
      <c r="J38" s="1085"/>
      <c r="K38" s="564"/>
      <c r="L38" s="564"/>
      <c r="M38" s="565"/>
      <c r="N38" s="1117" t="s">
        <v>628</v>
      </c>
      <c r="O38" s="1118"/>
      <c r="P38" s="1119"/>
      <c r="Q38" s="1069">
        <f>IF(DATA!BB235=1,DATA!AX233,"")</f>
      </c>
      <c r="R38" s="1070"/>
      <c r="S38" s="754"/>
      <c r="T38" s="380"/>
      <c r="U38" s="784"/>
      <c r="V38" s="784"/>
      <c r="W38" s="784"/>
      <c r="X38" s="784"/>
      <c r="Y38" s="784"/>
      <c r="Z38" s="784"/>
      <c r="AA38" s="784"/>
      <c r="AB38" s="784"/>
      <c r="AC38" s="784"/>
      <c r="AD38" s="784"/>
      <c r="AE38" s="784"/>
      <c r="AF38" s="784"/>
      <c r="AG38" s="784"/>
      <c r="AH38" s="784"/>
      <c r="AI38" s="784"/>
      <c r="AJ38" s="784"/>
      <c r="AK38" s="784"/>
      <c r="AL38" s="784"/>
      <c r="AM38" s="784"/>
      <c r="AN38" s="784"/>
      <c r="AO38" s="784"/>
      <c r="AP38" s="784"/>
      <c r="AQ38" s="784"/>
      <c r="AR38" s="784"/>
      <c r="AS38" s="784"/>
      <c r="AT38" s="784"/>
      <c r="AU38" s="784"/>
      <c r="AV38" s="784"/>
      <c r="AW38" s="784"/>
      <c r="AX38" s="784"/>
      <c r="AY38" s="784"/>
      <c r="AZ38" s="784"/>
      <c r="BA38" s="784"/>
      <c r="BB38" s="784"/>
      <c r="BC38" s="784"/>
      <c r="BD38" s="784"/>
      <c r="BE38" s="784"/>
      <c r="BF38" s="784"/>
      <c r="BG38" s="784"/>
      <c r="BH38" s="784"/>
      <c r="BI38" s="784"/>
      <c r="BJ38" s="784"/>
      <c r="BK38" s="784"/>
      <c r="BL38" s="784"/>
      <c r="BM38" s="784"/>
      <c r="BN38" s="784"/>
      <c r="BO38" s="784"/>
      <c r="BP38" s="784"/>
      <c r="BQ38" s="784"/>
      <c r="BR38" s="784"/>
      <c r="BS38" s="784"/>
      <c r="BT38" s="784"/>
      <c r="BU38" s="784"/>
      <c r="BV38" s="784"/>
      <c r="BW38" s="784"/>
      <c r="BX38" s="784"/>
      <c r="BY38" s="784"/>
      <c r="BZ38" s="784"/>
    </row>
    <row r="39" spans="1:78" ht="18" customHeight="1" thickBot="1">
      <c r="A39" s="784"/>
      <c r="B39" s="390"/>
      <c r="C39" s="372"/>
      <c r="D39" s="371"/>
      <c r="E39" s="887"/>
      <c r="F39" s="888"/>
      <c r="G39" s="889"/>
      <c r="H39" s="1086" t="str">
        <f>IF(BW271=1,"If any chnge Health Card Premium","")</f>
        <v>If any chnge Health Card Premium</v>
      </c>
      <c r="I39" s="1087"/>
      <c r="J39" s="1088"/>
      <c r="K39" s="566"/>
      <c r="L39" s="567"/>
      <c r="M39" s="568"/>
      <c r="N39" s="1071" t="str">
        <f>BD230&amp;" from Housing Property"</f>
        <v> Loss from Housing Property</v>
      </c>
      <c r="O39" s="1072"/>
      <c r="P39" s="1073"/>
      <c r="Q39" s="1089">
        <f>AX236</f>
      </c>
      <c r="R39" s="1090"/>
      <c r="S39" s="755"/>
      <c r="T39" s="380"/>
      <c r="U39" s="784"/>
      <c r="V39" s="784"/>
      <c r="W39" s="784"/>
      <c r="X39" s="784"/>
      <c r="Y39" s="784"/>
      <c r="Z39" s="784"/>
      <c r="AA39" s="784"/>
      <c r="AB39" s="784"/>
      <c r="AC39" s="784"/>
      <c r="AD39" s="784"/>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784"/>
      <c r="BK39" s="784"/>
      <c r="BL39" s="784"/>
      <c r="BM39" s="784"/>
      <c r="BN39" s="784"/>
      <c r="BO39" s="784"/>
      <c r="BP39" s="784"/>
      <c r="BQ39" s="784"/>
      <c r="BR39" s="784"/>
      <c r="BS39" s="784"/>
      <c r="BT39" s="784"/>
      <c r="BU39" s="784"/>
      <c r="BV39" s="784"/>
      <c r="BW39" s="784"/>
      <c r="BX39" s="784"/>
      <c r="BY39" s="784"/>
      <c r="BZ39" s="784"/>
    </row>
    <row r="40" spans="1:78" ht="16.5" customHeight="1" thickBot="1">
      <c r="A40" s="784"/>
      <c r="B40" s="390"/>
      <c r="C40" s="372"/>
      <c r="D40" s="371"/>
      <c r="E40" s="887"/>
      <c r="F40" s="888"/>
      <c r="G40" s="889"/>
      <c r="H40" s="1054" t="s">
        <v>625</v>
      </c>
      <c r="I40" s="1055"/>
      <c r="J40" s="1055"/>
      <c r="K40" s="1055"/>
      <c r="L40" s="1055"/>
      <c r="M40" s="1056"/>
      <c r="N40" s="909" t="s">
        <v>583</v>
      </c>
      <c r="O40" s="910"/>
      <c r="P40" s="910"/>
      <c r="Q40" s="910"/>
      <c r="R40" s="910"/>
      <c r="S40" s="911"/>
      <c r="T40" s="380"/>
      <c r="U40" s="784"/>
      <c r="V40" s="784"/>
      <c r="W40" s="784"/>
      <c r="X40" s="784"/>
      <c r="Y40" s="784"/>
      <c r="Z40" s="784"/>
      <c r="AA40" s="784"/>
      <c r="AB40" s="784"/>
      <c r="AC40" s="784"/>
      <c r="AD40" s="784"/>
      <c r="AE40" s="784"/>
      <c r="AF40" s="784"/>
      <c r="AG40" s="784"/>
      <c r="AH40" s="784"/>
      <c r="AI40" s="784"/>
      <c r="AJ40" s="784"/>
      <c r="AK40" s="784"/>
      <c r="AL40" s="784"/>
      <c r="AM40" s="784"/>
      <c r="AN40" s="784"/>
      <c r="AO40" s="784"/>
      <c r="AP40" s="784"/>
      <c r="AQ40" s="784"/>
      <c r="AR40" s="784"/>
      <c r="AS40" s="784"/>
      <c r="AT40" s="784"/>
      <c r="AU40" s="784"/>
      <c r="AV40" s="784"/>
      <c r="AW40" s="784"/>
      <c r="AX40" s="784"/>
      <c r="AY40" s="784"/>
      <c r="AZ40" s="784"/>
      <c r="BA40" s="784"/>
      <c r="BB40" s="784"/>
      <c r="BC40" s="784"/>
      <c r="BD40" s="784"/>
      <c r="BE40" s="784"/>
      <c r="BF40" s="784"/>
      <c r="BG40" s="784"/>
      <c r="BH40" s="784"/>
      <c r="BI40" s="784"/>
      <c r="BJ40" s="784"/>
      <c r="BK40" s="784"/>
      <c r="BL40" s="784"/>
      <c r="BM40" s="784"/>
      <c r="BN40" s="784"/>
      <c r="BO40" s="784"/>
      <c r="BP40" s="784"/>
      <c r="BQ40" s="784"/>
      <c r="BR40" s="784"/>
      <c r="BS40" s="784"/>
      <c r="BT40" s="784"/>
      <c r="BU40" s="784"/>
      <c r="BV40" s="784"/>
      <c r="BW40" s="784"/>
      <c r="BX40" s="784"/>
      <c r="BY40" s="784"/>
      <c r="BZ40" s="784"/>
    </row>
    <row r="41" spans="1:78" ht="15" customHeight="1" thickBot="1">
      <c r="A41" s="784"/>
      <c r="B41" s="390"/>
      <c r="C41" s="373"/>
      <c r="D41" s="371"/>
      <c r="E41" s="887"/>
      <c r="F41" s="888"/>
      <c r="G41" s="889"/>
      <c r="H41" s="1103" t="s">
        <v>351</v>
      </c>
      <c r="I41" s="1104"/>
      <c r="J41" s="1107">
        <f>'Annexure -I I'!L41</f>
        <v>33683</v>
      </c>
      <c r="K41" s="1109" t="s">
        <v>517</v>
      </c>
      <c r="L41" s="1111">
        <f>'Annexure -I I'!L28</f>
        <v>2119</v>
      </c>
      <c r="M41" s="1112"/>
      <c r="N41" s="901" t="s">
        <v>769</v>
      </c>
      <c r="O41" s="902"/>
      <c r="P41" s="902"/>
      <c r="Q41" s="902"/>
      <c r="R41" s="902"/>
      <c r="S41" s="903"/>
      <c r="T41" s="380"/>
      <c r="U41" s="784"/>
      <c r="V41" s="784"/>
      <c r="W41" s="784"/>
      <c r="X41" s="784"/>
      <c r="Y41" s="784"/>
      <c r="Z41" s="784"/>
      <c r="AA41" s="784"/>
      <c r="AB41" s="784"/>
      <c r="AC41" s="784"/>
      <c r="AD41" s="784"/>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84"/>
      <c r="BX41" s="784"/>
      <c r="BY41" s="784"/>
      <c r="BZ41" s="784"/>
    </row>
    <row r="42" spans="1:78" ht="21.75" customHeight="1" thickBot="1">
      <c r="A42" s="784"/>
      <c r="B42" s="390"/>
      <c r="C42" s="373"/>
      <c r="D42" s="371"/>
      <c r="E42" s="887"/>
      <c r="F42" s="888"/>
      <c r="G42" s="889"/>
      <c r="H42" s="1105"/>
      <c r="I42" s="1106"/>
      <c r="J42" s="1108"/>
      <c r="K42" s="1110"/>
      <c r="L42" s="1113"/>
      <c r="M42" s="1114"/>
      <c r="N42" s="904"/>
      <c r="O42" s="905"/>
      <c r="P42" s="905"/>
      <c r="Q42" s="905"/>
      <c r="R42" s="905"/>
      <c r="S42" s="906"/>
      <c r="T42" s="380"/>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4"/>
      <c r="AY42" s="784"/>
      <c r="AZ42" s="784"/>
      <c r="BA42" s="784"/>
      <c r="BB42" s="784"/>
      <c r="BC42" s="784"/>
      <c r="BD42" s="784"/>
      <c r="BE42" s="784"/>
      <c r="BF42" s="784"/>
      <c r="BG42" s="784"/>
      <c r="BH42" s="784"/>
      <c r="BI42" s="784"/>
      <c r="BJ42" s="784"/>
      <c r="BK42" s="784"/>
      <c r="BL42" s="784"/>
      <c r="BM42" s="784"/>
      <c r="BN42" s="784"/>
      <c r="BO42" s="784"/>
      <c r="BP42" s="784"/>
      <c r="BQ42" s="784"/>
      <c r="BR42" s="784"/>
      <c r="BS42" s="784"/>
      <c r="BT42" s="784"/>
      <c r="BU42" s="784"/>
      <c r="BV42" s="784"/>
      <c r="BW42" s="784"/>
      <c r="BX42" s="784"/>
      <c r="BY42" s="784"/>
      <c r="BZ42" s="784"/>
    </row>
    <row r="43" spans="1:78" ht="15" customHeight="1" thickBot="1">
      <c r="A43" s="784"/>
      <c r="B43" s="391"/>
      <c r="C43" s="378"/>
      <c r="D43" s="378"/>
      <c r="E43" s="378"/>
      <c r="F43" s="378"/>
      <c r="G43" s="378"/>
      <c r="H43" s="378"/>
      <c r="I43" s="378"/>
      <c r="J43" s="378"/>
      <c r="K43" s="378"/>
      <c r="L43" s="378"/>
      <c r="M43" s="378"/>
      <c r="N43" s="378"/>
      <c r="O43" s="378"/>
      <c r="P43" s="378"/>
      <c r="Q43" s="378"/>
      <c r="R43" s="378"/>
      <c r="S43" s="378"/>
      <c r="T43" s="382"/>
      <c r="U43" s="784"/>
      <c r="V43" s="784"/>
      <c r="W43" s="784"/>
      <c r="X43" s="784"/>
      <c r="Y43" s="784"/>
      <c r="Z43" s="784"/>
      <c r="AA43" s="784"/>
      <c r="AB43" s="784"/>
      <c r="AC43" s="784"/>
      <c r="AD43" s="784"/>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784"/>
      <c r="BK43" s="784"/>
      <c r="BL43" s="784"/>
      <c r="BM43" s="784"/>
      <c r="BN43" s="784"/>
      <c r="BO43" s="784"/>
      <c r="BP43" s="784"/>
      <c r="BQ43" s="784"/>
      <c r="BR43" s="784"/>
      <c r="BS43" s="784"/>
      <c r="BT43" s="784"/>
      <c r="BU43" s="784"/>
      <c r="BV43" s="784"/>
      <c r="BW43" s="784"/>
      <c r="BX43" s="784"/>
      <c r="BY43" s="784"/>
      <c r="BZ43" s="784"/>
    </row>
    <row r="44" spans="1:78" ht="14.25">
      <c r="A44" s="784"/>
      <c r="B44" s="784"/>
      <c r="C44" s="784"/>
      <c r="D44" s="784"/>
      <c r="E44" s="784"/>
      <c r="F44" s="784"/>
      <c r="G44" s="784"/>
      <c r="H44" s="784"/>
      <c r="I44" s="784"/>
      <c r="J44" s="784"/>
      <c r="K44" s="784"/>
      <c r="L44" s="784"/>
      <c r="M44" s="784"/>
      <c r="N44" s="784"/>
      <c r="O44" s="784"/>
      <c r="P44" s="784"/>
      <c r="Q44" s="784"/>
      <c r="R44" s="784"/>
      <c r="S44" s="784"/>
      <c r="T44" s="785"/>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c r="AX44" s="784"/>
      <c r="AY44" s="784"/>
      <c r="AZ44" s="784"/>
      <c r="BA44" s="784"/>
      <c r="BB44" s="784"/>
      <c r="BC44" s="784"/>
      <c r="BD44" s="784"/>
      <c r="BE44" s="784"/>
      <c r="BF44" s="784"/>
      <c r="BG44" s="784"/>
      <c r="BH44" s="784"/>
      <c r="BI44" s="784"/>
      <c r="BJ44" s="784"/>
      <c r="BK44" s="784"/>
      <c r="BL44" s="784"/>
      <c r="BM44" s="784"/>
      <c r="BN44" s="784"/>
      <c r="BO44" s="784"/>
      <c r="BP44" s="784"/>
      <c r="BQ44" s="784"/>
      <c r="BR44" s="784"/>
      <c r="BS44" s="784"/>
      <c r="BT44" s="784"/>
      <c r="BU44" s="784"/>
      <c r="BV44" s="784"/>
      <c r="BW44" s="784"/>
      <c r="BX44" s="784"/>
      <c r="BY44" s="784"/>
      <c r="BZ44" s="784"/>
    </row>
    <row r="45" spans="1:78" ht="14.25">
      <c r="A45" s="784"/>
      <c r="B45" s="784"/>
      <c r="C45" s="784"/>
      <c r="D45" s="784"/>
      <c r="E45" s="784"/>
      <c r="F45" s="784"/>
      <c r="G45" s="784"/>
      <c r="H45" s="784"/>
      <c r="I45" s="784"/>
      <c r="J45" s="784"/>
      <c r="K45" s="784"/>
      <c r="L45" s="784"/>
      <c r="M45" s="784"/>
      <c r="N45" s="784"/>
      <c r="O45" s="784"/>
      <c r="P45" s="784"/>
      <c r="Q45" s="784"/>
      <c r="R45" s="784"/>
      <c r="S45" s="784"/>
      <c r="T45" s="785"/>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784"/>
      <c r="AS45" s="784"/>
      <c r="AT45" s="784"/>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84"/>
      <c r="BX45" s="784"/>
      <c r="BY45" s="784"/>
      <c r="BZ45" s="784"/>
    </row>
    <row r="46" spans="1:78" ht="14.25">
      <c r="A46" s="784"/>
      <c r="B46" s="784"/>
      <c r="C46" s="786" t="str">
        <f>BX226&amp;", "&amp;BX230</f>
        <v>Your drawing HRA=24965, No need to produce rent receipt due to below 36000 HRA  (for your monthly rent@ Rs.5300)</v>
      </c>
      <c r="D46" s="787"/>
      <c r="E46" s="787"/>
      <c r="F46" s="787"/>
      <c r="G46" s="787"/>
      <c r="H46" s="787"/>
      <c r="I46" s="787"/>
      <c r="J46" s="787"/>
      <c r="K46" s="787"/>
      <c r="L46" s="787"/>
      <c r="M46" s="787"/>
      <c r="N46" s="787"/>
      <c r="O46" s="787"/>
      <c r="P46" s="787"/>
      <c r="Q46" s="787"/>
      <c r="R46" s="787"/>
      <c r="S46" s="788"/>
      <c r="T46" s="785"/>
      <c r="U46" s="784"/>
      <c r="V46" s="784"/>
      <c r="W46" s="784"/>
      <c r="X46" s="784"/>
      <c r="Y46" s="784"/>
      <c r="Z46" s="784"/>
      <c r="AA46" s="784"/>
      <c r="AB46" s="784"/>
      <c r="AC46" s="784"/>
      <c r="AD46" s="784"/>
      <c r="AE46" s="784"/>
      <c r="AF46" s="784"/>
      <c r="AG46" s="784"/>
      <c r="AH46" s="784"/>
      <c r="AI46" s="784"/>
      <c r="AJ46" s="784"/>
      <c r="AK46" s="784"/>
      <c r="AL46" s="784"/>
      <c r="AM46" s="784"/>
      <c r="AN46" s="784"/>
      <c r="AO46" s="784"/>
      <c r="AP46" s="784"/>
      <c r="AQ46" s="784"/>
      <c r="AR46" s="784"/>
      <c r="AS46" s="784"/>
      <c r="AT46" s="784"/>
      <c r="AU46" s="784"/>
      <c r="AV46" s="784"/>
      <c r="AW46" s="784"/>
      <c r="AX46" s="784"/>
      <c r="AY46" s="784"/>
      <c r="AZ46" s="784"/>
      <c r="BA46" s="784"/>
      <c r="BB46" s="784"/>
      <c r="BC46" s="784"/>
      <c r="BD46" s="784"/>
      <c r="BE46" s="784"/>
      <c r="BF46" s="784"/>
      <c r="BG46" s="784"/>
      <c r="BH46" s="784"/>
      <c r="BI46" s="784"/>
      <c r="BJ46" s="784"/>
      <c r="BK46" s="784"/>
      <c r="BL46" s="784"/>
      <c r="BM46" s="784"/>
      <c r="BN46" s="784"/>
      <c r="BO46" s="784"/>
      <c r="BP46" s="784"/>
      <c r="BQ46" s="784"/>
      <c r="BR46" s="784"/>
      <c r="BS46" s="784"/>
      <c r="BT46" s="784"/>
      <c r="BU46" s="784"/>
      <c r="BV46" s="784"/>
      <c r="BW46" s="784"/>
      <c r="BX46" s="784"/>
      <c r="BY46" s="784"/>
      <c r="BZ46" s="784"/>
    </row>
    <row r="47" spans="1:78" ht="14.25">
      <c r="A47" s="784"/>
      <c r="B47" s="784"/>
      <c r="C47" s="789" t="s">
        <v>515</v>
      </c>
      <c r="D47" s="274"/>
      <c r="E47" s="274"/>
      <c r="F47" s="274"/>
      <c r="G47" s="274"/>
      <c r="H47" s="274"/>
      <c r="I47" s="274"/>
      <c r="J47" s="274"/>
      <c r="K47" s="274"/>
      <c r="L47" s="274"/>
      <c r="M47" s="274"/>
      <c r="N47" s="274"/>
      <c r="O47" s="274"/>
      <c r="P47" s="274"/>
      <c r="Q47" s="274"/>
      <c r="R47" s="274"/>
      <c r="S47" s="790"/>
      <c r="T47" s="785"/>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row>
    <row r="48" spans="1:78" ht="14.25">
      <c r="A48" s="784"/>
      <c r="B48" s="784"/>
      <c r="C48" s="791" t="s">
        <v>557</v>
      </c>
      <c r="D48" s="792"/>
      <c r="E48" s="792"/>
      <c r="F48" s="792"/>
      <c r="G48" s="792"/>
      <c r="H48" s="792"/>
      <c r="I48" s="792"/>
      <c r="J48" s="792"/>
      <c r="K48" s="792"/>
      <c r="L48" s="792"/>
      <c r="M48" s="792"/>
      <c r="N48" s="792"/>
      <c r="O48" s="792"/>
      <c r="P48" s="792"/>
      <c r="Q48" s="792"/>
      <c r="R48" s="792"/>
      <c r="S48" s="793"/>
      <c r="T48" s="785"/>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row>
    <row r="49" spans="1:78" ht="14.25">
      <c r="A49" s="784"/>
      <c r="B49" s="784"/>
      <c r="C49" s="784"/>
      <c r="D49" s="784"/>
      <c r="E49" s="784"/>
      <c r="F49" s="784"/>
      <c r="G49" s="784"/>
      <c r="H49" s="784"/>
      <c r="I49" s="784"/>
      <c r="J49" s="784"/>
      <c r="K49" s="784"/>
      <c r="L49" s="784" t="s">
        <v>582</v>
      </c>
      <c r="M49" s="784"/>
      <c r="N49" s="784"/>
      <c r="O49" s="784"/>
      <c r="P49" s="784"/>
      <c r="Q49" s="784"/>
      <c r="R49" s="784"/>
      <c r="S49" s="784"/>
      <c r="T49" s="785"/>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4"/>
      <c r="AY49" s="784"/>
      <c r="AZ49" s="784"/>
      <c r="BA49" s="784"/>
      <c r="BB49" s="784"/>
      <c r="BC49" s="784"/>
      <c r="BD49" s="784"/>
      <c r="BE49" s="784"/>
      <c r="BF49" s="784"/>
      <c r="BG49" s="784"/>
      <c r="BH49" s="784"/>
      <c r="BI49" s="784"/>
      <c r="BJ49" s="784"/>
      <c r="BK49" s="784"/>
      <c r="BL49" s="784"/>
      <c r="BM49" s="784"/>
      <c r="BN49" s="784"/>
      <c r="BO49" s="784"/>
      <c r="BP49" s="784"/>
      <c r="BQ49" s="784"/>
      <c r="BR49" s="784"/>
      <c r="BS49" s="784"/>
      <c r="BT49" s="784"/>
      <c r="BU49" s="784"/>
      <c r="BV49" s="784"/>
      <c r="BW49" s="784"/>
      <c r="BX49" s="784"/>
      <c r="BY49" s="784"/>
      <c r="BZ49" s="784"/>
    </row>
    <row r="50" spans="1:78" ht="14.25">
      <c r="A50" s="784"/>
      <c r="B50" s="784"/>
      <c r="C50" s="784"/>
      <c r="D50" s="784"/>
      <c r="E50" s="784"/>
      <c r="F50" s="784"/>
      <c r="G50" s="784"/>
      <c r="H50" s="784"/>
      <c r="I50" s="784"/>
      <c r="J50" s="784"/>
      <c r="K50" s="784"/>
      <c r="L50" s="784"/>
      <c r="M50" s="784"/>
      <c r="N50" s="784"/>
      <c r="O50" s="784"/>
      <c r="P50" s="784"/>
      <c r="Q50" s="784"/>
      <c r="R50" s="784"/>
      <c r="S50" s="784"/>
      <c r="T50" s="785"/>
      <c r="U50" s="784"/>
      <c r="V50" s="784"/>
      <c r="W50" s="784"/>
      <c r="X50" s="784"/>
      <c r="Y50" s="784"/>
      <c r="Z50" s="784"/>
      <c r="AA50" s="784"/>
      <c r="AB50" s="784"/>
      <c r="AC50" s="784"/>
      <c r="AD50" s="784"/>
      <c r="AE50" s="784"/>
      <c r="AF50" s="784"/>
      <c r="AG50" s="784"/>
      <c r="AH50" s="784"/>
      <c r="AI50" s="784"/>
      <c r="AJ50" s="784"/>
      <c r="AK50" s="784"/>
      <c r="AL50" s="784"/>
      <c r="AM50" s="784"/>
      <c r="AN50" s="784"/>
      <c r="AO50" s="784"/>
      <c r="AP50" s="784"/>
      <c r="AQ50" s="784"/>
      <c r="AR50" s="784"/>
      <c r="AS50" s="784"/>
      <c r="AT50" s="784"/>
      <c r="AU50" s="784"/>
      <c r="AV50" s="784"/>
      <c r="AW50" s="784"/>
      <c r="AX50" s="784"/>
      <c r="AY50" s="784"/>
      <c r="AZ50" s="784"/>
      <c r="BA50" s="784"/>
      <c r="BB50" s="784"/>
      <c r="BC50" s="784"/>
      <c r="BD50" s="784"/>
      <c r="BE50" s="784"/>
      <c r="BF50" s="784"/>
      <c r="BG50" s="784"/>
      <c r="BH50" s="784"/>
      <c r="BI50" s="784"/>
      <c r="BJ50" s="784"/>
      <c r="BK50" s="784"/>
      <c r="BL50" s="784"/>
      <c r="BM50" s="784"/>
      <c r="BN50" s="784"/>
      <c r="BO50" s="784"/>
      <c r="BP50" s="784"/>
      <c r="BQ50" s="784"/>
      <c r="BR50" s="784"/>
      <c r="BS50" s="784"/>
      <c r="BT50" s="784"/>
      <c r="BU50" s="784"/>
      <c r="BV50" s="784"/>
      <c r="BW50" s="784"/>
      <c r="BX50" s="784"/>
      <c r="BY50" s="784"/>
      <c r="BZ50" s="784"/>
    </row>
    <row r="51" spans="1:78" ht="14.25">
      <c r="A51" s="784"/>
      <c r="B51" s="784"/>
      <c r="C51" s="784"/>
      <c r="D51" s="784"/>
      <c r="E51" s="784"/>
      <c r="F51" s="784"/>
      <c r="G51" s="784"/>
      <c r="H51" s="784"/>
      <c r="I51" s="784"/>
      <c r="J51" s="784"/>
      <c r="K51" s="784"/>
      <c r="L51" s="784"/>
      <c r="M51" s="784"/>
      <c r="N51" s="784"/>
      <c r="O51" s="784"/>
      <c r="P51" s="784"/>
      <c r="Q51" s="784"/>
      <c r="R51" s="784"/>
      <c r="S51" s="784"/>
      <c r="T51" s="785"/>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4"/>
      <c r="AY51" s="784"/>
      <c r="AZ51" s="784"/>
      <c r="BA51" s="784"/>
      <c r="BB51" s="784"/>
      <c r="BC51" s="784"/>
      <c r="BD51" s="784"/>
      <c r="BE51" s="784"/>
      <c r="BF51" s="784"/>
      <c r="BG51" s="784"/>
      <c r="BH51" s="784"/>
      <c r="BI51" s="784"/>
      <c r="BJ51" s="784"/>
      <c r="BK51" s="784"/>
      <c r="BL51" s="784"/>
      <c r="BM51" s="784"/>
      <c r="BN51" s="784"/>
      <c r="BO51" s="784"/>
      <c r="BP51" s="784"/>
      <c r="BQ51" s="784"/>
      <c r="BR51" s="784"/>
      <c r="BS51" s="784"/>
      <c r="BT51" s="784"/>
      <c r="BU51" s="784"/>
      <c r="BV51" s="784"/>
      <c r="BW51" s="784"/>
      <c r="BX51" s="784"/>
      <c r="BY51" s="784"/>
      <c r="BZ51" s="784"/>
    </row>
    <row r="52" spans="1:78" ht="15" customHeight="1">
      <c r="A52" s="784"/>
      <c r="B52" s="784"/>
      <c r="C52" s="784"/>
      <c r="D52" s="784"/>
      <c r="E52" s="784"/>
      <c r="F52" s="784"/>
      <c r="G52" s="784"/>
      <c r="H52" s="784"/>
      <c r="I52" s="784"/>
      <c r="J52" s="784"/>
      <c r="K52" s="784"/>
      <c r="L52" s="784"/>
      <c r="M52" s="784"/>
      <c r="N52" s="784"/>
      <c r="O52" s="784"/>
      <c r="P52" s="784"/>
      <c r="Q52" s="784"/>
      <c r="R52" s="784"/>
      <c r="S52" s="784"/>
      <c r="T52" s="785"/>
      <c r="U52" s="784"/>
      <c r="V52" s="784"/>
      <c r="W52" s="784"/>
      <c r="X52" s="784"/>
      <c r="Y52" s="784"/>
      <c r="Z52" s="784"/>
      <c r="AA52" s="784"/>
      <c r="AB52" s="784"/>
      <c r="AC52" s="784"/>
      <c r="AD52" s="784"/>
      <c r="AE52" s="784"/>
      <c r="AF52" s="784"/>
      <c r="AG52" s="784"/>
      <c r="AH52" s="784"/>
      <c r="AI52" s="784"/>
      <c r="AJ52" s="784"/>
      <c r="AK52" s="784"/>
      <c r="AL52" s="784"/>
      <c r="AM52" s="784"/>
      <c r="AN52" s="784"/>
      <c r="AO52" s="784"/>
      <c r="AP52" s="784"/>
      <c r="AQ52" s="784"/>
      <c r="AR52" s="784"/>
      <c r="AS52" s="784"/>
      <c r="AT52" s="784"/>
      <c r="AU52" s="784"/>
      <c r="AV52" s="784"/>
      <c r="AW52" s="784"/>
      <c r="AX52" s="784"/>
      <c r="AY52" s="784"/>
      <c r="AZ52" s="784"/>
      <c r="BA52" s="784"/>
      <c r="BB52" s="784"/>
      <c r="BC52" s="784"/>
      <c r="BD52" s="784"/>
      <c r="BE52" s="784"/>
      <c r="BF52" s="784"/>
      <c r="BG52" s="784"/>
      <c r="BH52" s="784"/>
      <c r="BI52" s="784"/>
      <c r="BJ52" s="784"/>
      <c r="BK52" s="784"/>
      <c r="BL52" s="784"/>
      <c r="BM52" s="784"/>
      <c r="BN52" s="784"/>
      <c r="BO52" s="784"/>
      <c r="BP52" s="784"/>
      <c r="BQ52" s="784"/>
      <c r="BR52" s="784"/>
      <c r="BS52" s="784"/>
      <c r="BT52" s="784"/>
      <c r="BU52" s="784"/>
      <c r="BV52" s="784"/>
      <c r="BW52" s="784"/>
      <c r="BX52" s="784"/>
      <c r="BY52" s="784"/>
      <c r="BZ52" s="784"/>
    </row>
    <row r="53" spans="1:78" ht="15" customHeight="1">
      <c r="A53" s="784"/>
      <c r="B53" s="784"/>
      <c r="C53" s="784"/>
      <c r="D53" s="784"/>
      <c r="E53" s="784"/>
      <c r="F53" s="784"/>
      <c r="G53" s="784"/>
      <c r="H53" s="784"/>
      <c r="I53" s="784"/>
      <c r="J53" s="784"/>
      <c r="K53" s="784"/>
      <c r="L53" s="784"/>
      <c r="M53" s="784"/>
      <c r="N53" s="784"/>
      <c r="O53" s="784"/>
      <c r="P53" s="784"/>
      <c r="Q53" s="784"/>
      <c r="R53" s="784"/>
      <c r="S53" s="784"/>
      <c r="T53" s="785"/>
      <c r="U53" s="784"/>
      <c r="V53" s="784"/>
      <c r="W53" s="784"/>
      <c r="X53" s="784"/>
      <c r="Y53" s="784"/>
      <c r="Z53" s="784"/>
      <c r="AA53" s="784"/>
      <c r="AB53" s="784"/>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784"/>
      <c r="AY53" s="784"/>
      <c r="AZ53" s="784"/>
      <c r="BA53" s="784"/>
      <c r="BB53" s="784"/>
      <c r="BC53" s="784"/>
      <c r="BD53" s="784"/>
      <c r="BE53" s="784"/>
      <c r="BF53" s="784"/>
      <c r="BG53" s="784"/>
      <c r="BH53" s="784"/>
      <c r="BI53" s="784"/>
      <c r="BJ53" s="784"/>
      <c r="BK53" s="784"/>
      <c r="BL53" s="784"/>
      <c r="BM53" s="784"/>
      <c r="BN53" s="784"/>
      <c r="BO53" s="784"/>
      <c r="BP53" s="784"/>
      <c r="BQ53" s="784"/>
      <c r="BR53" s="784"/>
      <c r="BS53" s="784"/>
      <c r="BT53" s="784"/>
      <c r="BU53" s="784"/>
      <c r="BV53" s="784"/>
      <c r="BW53" s="784"/>
      <c r="BX53" s="784"/>
      <c r="BY53" s="784"/>
      <c r="BZ53" s="784"/>
    </row>
    <row r="54" spans="1:78" ht="14.25">
      <c r="A54" s="784"/>
      <c r="B54" s="784"/>
      <c r="C54" s="784"/>
      <c r="D54" s="784"/>
      <c r="E54" s="784"/>
      <c r="F54" s="784"/>
      <c r="G54" s="784"/>
      <c r="H54" s="784"/>
      <c r="I54" s="784"/>
      <c r="J54" s="784"/>
      <c r="K54" s="784"/>
      <c r="L54" s="784"/>
      <c r="M54" s="784"/>
      <c r="N54" s="784"/>
      <c r="O54" s="784"/>
      <c r="P54" s="784"/>
      <c r="Q54" s="784"/>
      <c r="R54" s="784"/>
      <c r="S54" s="784"/>
      <c r="T54" s="785"/>
      <c r="U54" s="784"/>
      <c r="V54" s="784"/>
      <c r="W54" s="784"/>
      <c r="X54" s="784"/>
      <c r="Y54" s="784"/>
      <c r="Z54" s="784"/>
      <c r="AA54" s="784"/>
      <c r="AB54" s="784"/>
      <c r="AC54" s="784"/>
      <c r="AD54" s="784"/>
      <c r="AE54" s="784"/>
      <c r="AF54" s="784"/>
      <c r="AG54" s="784"/>
      <c r="AH54" s="784"/>
      <c r="AI54" s="784"/>
      <c r="AJ54" s="784"/>
      <c r="AK54" s="784"/>
      <c r="AL54" s="784"/>
      <c r="AM54" s="784"/>
      <c r="AN54" s="784"/>
      <c r="AO54" s="784"/>
      <c r="AP54" s="784"/>
      <c r="AQ54" s="784"/>
      <c r="AR54" s="784"/>
      <c r="AS54" s="784"/>
      <c r="AT54" s="784"/>
      <c r="AU54" s="784"/>
      <c r="AV54" s="784"/>
      <c r="AW54" s="784"/>
      <c r="AX54" s="784"/>
      <c r="AY54" s="784"/>
      <c r="AZ54" s="784"/>
      <c r="BA54" s="784"/>
      <c r="BB54" s="784"/>
      <c r="BC54" s="784"/>
      <c r="BD54" s="784"/>
      <c r="BE54" s="784"/>
      <c r="BF54" s="784"/>
      <c r="BG54" s="784"/>
      <c r="BH54" s="784"/>
      <c r="BI54" s="784"/>
      <c r="BJ54" s="784"/>
      <c r="BK54" s="784"/>
      <c r="BL54" s="784"/>
      <c r="BM54" s="784"/>
      <c r="BN54" s="784"/>
      <c r="BO54" s="784"/>
      <c r="BP54" s="784"/>
      <c r="BQ54" s="784"/>
      <c r="BR54" s="784"/>
      <c r="BS54" s="784"/>
      <c r="BT54" s="784"/>
      <c r="BU54" s="784"/>
      <c r="BV54" s="784"/>
      <c r="BW54" s="784"/>
      <c r="BX54" s="784"/>
      <c r="BY54" s="784"/>
      <c r="BZ54" s="784"/>
    </row>
    <row r="55" spans="1:78" ht="14.25">
      <c r="A55" s="784"/>
      <c r="B55" s="784"/>
      <c r="C55" s="784"/>
      <c r="D55" s="784"/>
      <c r="E55" s="784"/>
      <c r="F55" s="784"/>
      <c r="G55" s="784"/>
      <c r="H55" s="784"/>
      <c r="I55" s="784"/>
      <c r="J55" s="784"/>
      <c r="K55" s="784"/>
      <c r="L55" s="784"/>
      <c r="M55" s="784"/>
      <c r="N55" s="784"/>
      <c r="O55" s="784"/>
      <c r="P55" s="784"/>
      <c r="Q55" s="784"/>
      <c r="R55" s="784"/>
      <c r="S55" s="784"/>
      <c r="T55" s="785"/>
      <c r="U55" s="784"/>
      <c r="V55" s="784"/>
      <c r="W55" s="784"/>
      <c r="X55" s="784"/>
      <c r="Y55" s="784"/>
      <c r="Z55" s="784"/>
      <c r="AA55" s="784"/>
      <c r="AB55" s="784"/>
      <c r="AC55" s="784"/>
      <c r="AD55" s="784"/>
      <c r="AE55" s="784"/>
      <c r="AF55" s="784"/>
      <c r="AG55" s="784"/>
      <c r="AH55" s="784"/>
      <c r="AI55" s="784"/>
      <c r="AJ55" s="784"/>
      <c r="AK55" s="784"/>
      <c r="AL55" s="784"/>
      <c r="AM55" s="784"/>
      <c r="AN55" s="784"/>
      <c r="AO55" s="784"/>
      <c r="AP55" s="784"/>
      <c r="AQ55" s="784"/>
      <c r="AR55" s="784"/>
      <c r="AS55" s="784"/>
      <c r="AT55" s="784"/>
      <c r="AU55" s="784"/>
      <c r="AV55" s="784"/>
      <c r="AW55" s="784"/>
      <c r="AX55" s="784"/>
      <c r="AY55" s="784"/>
      <c r="AZ55" s="784"/>
      <c r="BA55" s="784"/>
      <c r="BB55" s="784"/>
      <c r="BC55" s="784"/>
      <c r="BD55" s="784"/>
      <c r="BE55" s="784"/>
      <c r="BF55" s="784"/>
      <c r="BG55" s="784"/>
      <c r="BH55" s="784"/>
      <c r="BI55" s="784"/>
      <c r="BJ55" s="784"/>
      <c r="BK55" s="784"/>
      <c r="BL55" s="784"/>
      <c r="BM55" s="784"/>
      <c r="BN55" s="784"/>
      <c r="BO55" s="784"/>
      <c r="BP55" s="784"/>
      <c r="BQ55" s="784"/>
      <c r="BR55" s="784"/>
      <c r="BS55" s="784"/>
      <c r="BT55" s="784"/>
      <c r="BU55" s="784"/>
      <c r="BV55" s="784"/>
      <c r="BW55" s="784"/>
      <c r="BX55" s="784"/>
      <c r="BY55" s="784"/>
      <c r="BZ55" s="784"/>
    </row>
    <row r="56" spans="1:78" ht="14.25">
      <c r="A56" s="784"/>
      <c r="B56" s="784"/>
      <c r="C56" s="784"/>
      <c r="D56" s="784"/>
      <c r="E56" s="784"/>
      <c r="F56" s="784"/>
      <c r="G56" s="784"/>
      <c r="H56" s="784"/>
      <c r="I56" s="784"/>
      <c r="J56" s="784"/>
      <c r="K56" s="784"/>
      <c r="L56" s="784"/>
      <c r="M56" s="784"/>
      <c r="N56" s="784"/>
      <c r="O56" s="784"/>
      <c r="P56" s="784"/>
      <c r="Q56" s="784"/>
      <c r="R56" s="784"/>
      <c r="S56" s="784"/>
      <c r="T56" s="785"/>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4"/>
      <c r="AY56" s="784"/>
      <c r="AZ56" s="784"/>
      <c r="BA56" s="784"/>
      <c r="BB56" s="784"/>
      <c r="BC56" s="784"/>
      <c r="BD56" s="784"/>
      <c r="BE56" s="784"/>
      <c r="BF56" s="784"/>
      <c r="BG56" s="784"/>
      <c r="BH56" s="784"/>
      <c r="BI56" s="784"/>
      <c r="BJ56" s="784"/>
      <c r="BK56" s="784"/>
      <c r="BL56" s="784"/>
      <c r="BM56" s="784"/>
      <c r="BN56" s="784"/>
      <c r="BO56" s="784"/>
      <c r="BP56" s="784"/>
      <c r="BQ56" s="784"/>
      <c r="BR56" s="784"/>
      <c r="BS56" s="784"/>
      <c r="BT56" s="784"/>
      <c r="BU56" s="784"/>
      <c r="BV56" s="784"/>
      <c r="BW56" s="784"/>
      <c r="BX56" s="784"/>
      <c r="BY56" s="784"/>
      <c r="BZ56" s="784"/>
    </row>
    <row r="57" spans="1:78" ht="14.25">
      <c r="A57" s="784"/>
      <c r="B57" s="784"/>
      <c r="C57" s="784"/>
      <c r="D57" s="784"/>
      <c r="E57" s="784"/>
      <c r="F57" s="784"/>
      <c r="G57" s="784"/>
      <c r="H57" s="784"/>
      <c r="I57" s="784"/>
      <c r="J57" s="784"/>
      <c r="K57" s="784"/>
      <c r="L57" s="784"/>
      <c r="M57" s="784"/>
      <c r="N57" s="784"/>
      <c r="O57" s="784"/>
      <c r="P57" s="784"/>
      <c r="Q57" s="784"/>
      <c r="R57" s="784"/>
      <c r="S57" s="784"/>
      <c r="T57" s="785"/>
      <c r="U57" s="784"/>
      <c r="V57" s="784"/>
      <c r="W57" s="784"/>
      <c r="X57" s="784"/>
      <c r="Y57" s="784"/>
      <c r="Z57" s="784"/>
      <c r="AA57" s="784"/>
      <c r="AB57" s="784"/>
      <c r="AC57" s="784"/>
      <c r="AD57" s="784"/>
      <c r="AE57" s="784"/>
      <c r="AF57" s="784"/>
      <c r="AG57" s="784"/>
      <c r="AH57" s="784"/>
      <c r="AI57" s="784"/>
      <c r="AJ57" s="784"/>
      <c r="AK57" s="784"/>
      <c r="AL57" s="784"/>
      <c r="AM57" s="784"/>
      <c r="AN57" s="784"/>
      <c r="AO57" s="784"/>
      <c r="AP57" s="784"/>
      <c r="AQ57" s="784"/>
      <c r="AR57" s="784"/>
      <c r="AS57" s="784"/>
      <c r="AT57" s="784"/>
      <c r="AU57" s="784"/>
      <c r="AV57" s="784"/>
      <c r="AW57" s="784"/>
      <c r="AX57" s="784"/>
      <c r="AY57" s="784"/>
      <c r="AZ57" s="784"/>
      <c r="BA57" s="784"/>
      <c r="BB57" s="784"/>
      <c r="BC57" s="784"/>
      <c r="BD57" s="784"/>
      <c r="BE57" s="784"/>
      <c r="BF57" s="784"/>
      <c r="BG57" s="784"/>
      <c r="BH57" s="784"/>
      <c r="BI57" s="784"/>
      <c r="BJ57" s="784"/>
      <c r="BK57" s="784"/>
      <c r="BL57" s="784"/>
      <c r="BM57" s="784"/>
      <c r="BN57" s="784"/>
      <c r="BO57" s="784"/>
      <c r="BP57" s="784"/>
      <c r="BQ57" s="784"/>
      <c r="BR57" s="784"/>
      <c r="BS57" s="784"/>
      <c r="BT57" s="784"/>
      <c r="BU57" s="784"/>
      <c r="BV57" s="784"/>
      <c r="BW57" s="784"/>
      <c r="BX57" s="784"/>
      <c r="BY57" s="784"/>
      <c r="BZ57" s="784"/>
    </row>
    <row r="58" spans="1:78" ht="14.25">
      <c r="A58" s="784"/>
      <c r="B58" s="784"/>
      <c r="C58" s="784"/>
      <c r="D58" s="784"/>
      <c r="E58" s="784"/>
      <c r="F58" s="784"/>
      <c r="G58" s="784"/>
      <c r="H58" s="784"/>
      <c r="I58" s="784"/>
      <c r="J58" s="784"/>
      <c r="K58" s="784"/>
      <c r="L58" s="784"/>
      <c r="M58" s="784"/>
      <c r="N58" s="784"/>
      <c r="O58" s="784"/>
      <c r="P58" s="784"/>
      <c r="Q58" s="784"/>
      <c r="R58" s="784"/>
      <c r="S58" s="784"/>
      <c r="T58" s="785"/>
      <c r="U58" s="784"/>
      <c r="V58" s="784"/>
      <c r="W58" s="784"/>
      <c r="X58" s="784"/>
      <c r="Y58" s="784"/>
      <c r="Z58" s="784"/>
      <c r="AA58" s="784"/>
      <c r="AB58" s="784"/>
      <c r="AC58" s="784"/>
      <c r="AD58" s="784"/>
      <c r="AE58" s="784"/>
      <c r="AF58" s="784"/>
      <c r="AG58" s="784"/>
      <c r="AH58" s="784"/>
      <c r="AI58" s="784"/>
      <c r="AJ58" s="784"/>
      <c r="AK58" s="784"/>
      <c r="AL58" s="784"/>
      <c r="AM58" s="784"/>
      <c r="AN58" s="784"/>
      <c r="AO58" s="784"/>
      <c r="AP58" s="784"/>
      <c r="AQ58" s="784"/>
      <c r="AR58" s="784"/>
      <c r="AS58" s="784"/>
      <c r="AT58" s="784"/>
      <c r="AU58" s="784"/>
      <c r="AV58" s="784"/>
      <c r="AW58" s="784"/>
      <c r="AX58" s="784"/>
      <c r="AY58" s="784"/>
      <c r="AZ58" s="784"/>
      <c r="BA58" s="784"/>
      <c r="BB58" s="784"/>
      <c r="BC58" s="784"/>
      <c r="BD58" s="784"/>
      <c r="BE58" s="784"/>
      <c r="BF58" s="784"/>
      <c r="BG58" s="784"/>
      <c r="BH58" s="784"/>
      <c r="BI58" s="784"/>
      <c r="BJ58" s="784"/>
      <c r="BK58" s="784"/>
      <c r="BL58" s="784"/>
      <c r="BM58" s="784"/>
      <c r="BN58" s="784"/>
      <c r="BO58" s="784"/>
      <c r="BP58" s="784"/>
      <c r="BQ58" s="784"/>
      <c r="BR58" s="784"/>
      <c r="BS58" s="784"/>
      <c r="BT58" s="784"/>
      <c r="BU58" s="784"/>
      <c r="BV58" s="784"/>
      <c r="BW58" s="784"/>
      <c r="BX58" s="784"/>
      <c r="BY58" s="784"/>
      <c r="BZ58" s="784"/>
    </row>
    <row r="59" spans="1:78" ht="14.25">
      <c r="A59" s="784"/>
      <c r="B59" s="784"/>
      <c r="C59" s="784"/>
      <c r="D59" s="784"/>
      <c r="E59" s="784"/>
      <c r="F59" s="784"/>
      <c r="G59" s="784"/>
      <c r="H59" s="784"/>
      <c r="I59" s="784"/>
      <c r="J59" s="784"/>
      <c r="K59" s="784"/>
      <c r="L59" s="784"/>
      <c r="M59" s="784"/>
      <c r="N59" s="784"/>
      <c r="O59" s="784"/>
      <c r="P59" s="784"/>
      <c r="Q59" s="784"/>
      <c r="R59" s="784"/>
      <c r="S59" s="784"/>
      <c r="T59" s="785"/>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4"/>
      <c r="AR59" s="784"/>
      <c r="AS59" s="784"/>
      <c r="AT59" s="784"/>
      <c r="AU59" s="784"/>
      <c r="AV59" s="784"/>
      <c r="AW59" s="784"/>
      <c r="AX59" s="784"/>
      <c r="AY59" s="784"/>
      <c r="AZ59" s="784"/>
      <c r="BA59" s="784"/>
      <c r="BB59" s="784"/>
      <c r="BC59" s="784"/>
      <c r="BD59" s="784"/>
      <c r="BE59" s="784"/>
      <c r="BF59" s="784"/>
      <c r="BG59" s="784"/>
      <c r="BH59" s="784"/>
      <c r="BI59" s="784"/>
      <c r="BJ59" s="784"/>
      <c r="BK59" s="784"/>
      <c r="BL59" s="784"/>
      <c r="BM59" s="784"/>
      <c r="BN59" s="784"/>
      <c r="BO59" s="784"/>
      <c r="BP59" s="784"/>
      <c r="BQ59" s="784"/>
      <c r="BR59" s="784"/>
      <c r="BS59" s="784"/>
      <c r="BT59" s="784"/>
      <c r="BU59" s="784"/>
      <c r="BV59" s="784"/>
      <c r="BW59" s="784"/>
      <c r="BX59" s="784"/>
      <c r="BY59" s="784"/>
      <c r="BZ59" s="784"/>
    </row>
    <row r="60" spans="1:78" ht="14.25">
      <c r="A60" s="784"/>
      <c r="B60" s="784"/>
      <c r="C60" s="784"/>
      <c r="D60" s="784"/>
      <c r="E60" s="784"/>
      <c r="F60" s="784"/>
      <c r="G60" s="784"/>
      <c r="H60" s="784"/>
      <c r="I60" s="784"/>
      <c r="J60" s="784"/>
      <c r="K60" s="784"/>
      <c r="L60" s="784"/>
      <c r="M60" s="784"/>
      <c r="N60" s="784"/>
      <c r="O60" s="784"/>
      <c r="P60" s="784"/>
      <c r="Q60" s="784"/>
      <c r="R60" s="784"/>
      <c r="S60" s="784"/>
      <c r="T60" s="785"/>
      <c r="U60" s="784"/>
      <c r="V60" s="784"/>
      <c r="W60" s="784"/>
      <c r="X60" s="784"/>
      <c r="Y60" s="784"/>
      <c r="Z60" s="784"/>
      <c r="AA60" s="784"/>
      <c r="AB60" s="784"/>
      <c r="AC60" s="784"/>
      <c r="AD60" s="784"/>
      <c r="AE60" s="784"/>
      <c r="AF60" s="784"/>
      <c r="AG60" s="784"/>
      <c r="AH60" s="784"/>
      <c r="AI60" s="784"/>
      <c r="AJ60" s="784"/>
      <c r="AK60" s="784"/>
      <c r="AL60" s="784"/>
      <c r="AM60" s="784"/>
      <c r="AN60" s="784"/>
      <c r="AO60" s="784"/>
      <c r="AP60" s="784"/>
      <c r="AQ60" s="784"/>
      <c r="AR60" s="784"/>
      <c r="AS60" s="784"/>
      <c r="AT60" s="784"/>
      <c r="AU60" s="784"/>
      <c r="AV60" s="784"/>
      <c r="AW60" s="784"/>
      <c r="AX60" s="784"/>
      <c r="AY60" s="784"/>
      <c r="AZ60" s="784"/>
      <c r="BA60" s="784"/>
      <c r="BB60" s="784"/>
      <c r="BC60" s="784"/>
      <c r="BD60" s="784"/>
      <c r="BE60" s="784"/>
      <c r="BF60" s="784"/>
      <c r="BG60" s="784"/>
      <c r="BH60" s="784"/>
      <c r="BI60" s="784"/>
      <c r="BJ60" s="784"/>
      <c r="BK60" s="784"/>
      <c r="BL60" s="784"/>
      <c r="BM60" s="784"/>
      <c r="BN60" s="784"/>
      <c r="BO60" s="784"/>
      <c r="BP60" s="784"/>
      <c r="BQ60" s="784"/>
      <c r="BR60" s="784"/>
      <c r="BS60" s="784"/>
      <c r="BT60" s="784"/>
      <c r="BU60" s="784"/>
      <c r="BV60" s="784"/>
      <c r="BW60" s="784"/>
      <c r="BX60" s="784"/>
      <c r="BY60" s="784"/>
      <c r="BZ60" s="784"/>
    </row>
    <row r="61" spans="1:78" ht="14.25">
      <c r="A61" s="784"/>
      <c r="B61" s="784"/>
      <c r="C61" s="784"/>
      <c r="D61" s="784"/>
      <c r="E61" s="784"/>
      <c r="F61" s="784"/>
      <c r="G61" s="784"/>
      <c r="H61" s="784"/>
      <c r="I61" s="784"/>
      <c r="J61" s="784"/>
      <c r="K61" s="784"/>
      <c r="L61" s="784"/>
      <c r="M61" s="784"/>
      <c r="N61" s="784"/>
      <c r="O61" s="784"/>
      <c r="P61" s="784"/>
      <c r="Q61" s="784"/>
      <c r="R61" s="784"/>
      <c r="S61" s="784"/>
      <c r="T61" s="785"/>
      <c r="U61" s="784"/>
      <c r="V61" s="784"/>
      <c r="W61" s="784"/>
      <c r="X61" s="784"/>
      <c r="Y61" s="784"/>
      <c r="Z61" s="784"/>
      <c r="AA61" s="784"/>
      <c r="AB61" s="784"/>
      <c r="AC61" s="784"/>
      <c r="AD61" s="784"/>
      <c r="AE61" s="784"/>
      <c r="AF61" s="784"/>
      <c r="AG61" s="784"/>
      <c r="AH61" s="784"/>
      <c r="AI61" s="784"/>
      <c r="AJ61" s="784"/>
      <c r="AK61" s="784"/>
      <c r="AL61" s="784"/>
      <c r="AM61" s="784"/>
      <c r="AN61" s="784"/>
      <c r="AO61" s="784"/>
      <c r="AP61" s="784"/>
      <c r="AQ61" s="784"/>
      <c r="AR61" s="784"/>
      <c r="AS61" s="784"/>
      <c r="AT61" s="784"/>
      <c r="AU61" s="784"/>
      <c r="AV61" s="784"/>
      <c r="AW61" s="784"/>
      <c r="AX61" s="784"/>
      <c r="AY61" s="784"/>
      <c r="AZ61" s="784"/>
      <c r="BA61" s="784"/>
      <c r="BB61" s="784"/>
      <c r="BC61" s="784"/>
      <c r="BD61" s="784"/>
      <c r="BE61" s="784"/>
      <c r="BF61" s="784"/>
      <c r="BG61" s="784"/>
      <c r="BH61" s="784"/>
      <c r="BI61" s="784"/>
      <c r="BJ61" s="784"/>
      <c r="BK61" s="784"/>
      <c r="BL61" s="784"/>
      <c r="BM61" s="784"/>
      <c r="BN61" s="784"/>
      <c r="BO61" s="784"/>
      <c r="BP61" s="784"/>
      <c r="BQ61" s="784"/>
      <c r="BR61" s="784"/>
      <c r="BS61" s="784"/>
      <c r="BT61" s="784"/>
      <c r="BU61" s="784"/>
      <c r="BV61" s="784"/>
      <c r="BW61" s="784"/>
      <c r="BX61" s="784"/>
      <c r="BY61" s="784"/>
      <c r="BZ61" s="784"/>
    </row>
    <row r="62" spans="1:78" ht="14.25">
      <c r="A62" s="784"/>
      <c r="B62" s="784"/>
      <c r="C62" s="784"/>
      <c r="D62" s="784"/>
      <c r="E62" s="784"/>
      <c r="F62" s="784"/>
      <c r="G62" s="784"/>
      <c r="H62" s="784"/>
      <c r="I62" s="784"/>
      <c r="J62" s="784"/>
      <c r="K62" s="784"/>
      <c r="L62" s="784"/>
      <c r="M62" s="784"/>
      <c r="N62" s="784"/>
      <c r="O62" s="784"/>
      <c r="P62" s="784"/>
      <c r="Q62" s="784"/>
      <c r="R62" s="784"/>
      <c r="S62" s="784"/>
      <c r="T62" s="785"/>
      <c r="U62" s="784"/>
      <c r="V62" s="784"/>
      <c r="W62" s="784"/>
      <c r="X62" s="784"/>
      <c r="Y62" s="784"/>
      <c r="Z62" s="784"/>
      <c r="AA62" s="784"/>
      <c r="AB62" s="784"/>
      <c r="AC62" s="784"/>
      <c r="AD62" s="784"/>
      <c r="AE62" s="784"/>
      <c r="AF62" s="784"/>
      <c r="AG62" s="784"/>
      <c r="AH62" s="784"/>
      <c r="AI62" s="784"/>
      <c r="AJ62" s="784"/>
      <c r="AK62" s="784"/>
      <c r="AL62" s="784"/>
      <c r="AM62" s="784"/>
      <c r="AN62" s="784"/>
      <c r="AO62" s="784"/>
      <c r="AP62" s="784"/>
      <c r="AQ62" s="784"/>
      <c r="AR62" s="784"/>
      <c r="AS62" s="784"/>
      <c r="AT62" s="784"/>
      <c r="AU62" s="784"/>
      <c r="AV62" s="784"/>
      <c r="AW62" s="784"/>
      <c r="AX62" s="784"/>
      <c r="AY62" s="784"/>
      <c r="AZ62" s="784"/>
      <c r="BA62" s="784"/>
      <c r="BB62" s="784"/>
      <c r="BC62" s="784"/>
      <c r="BD62" s="784"/>
      <c r="BE62" s="784"/>
      <c r="BF62" s="784"/>
      <c r="BG62" s="784"/>
      <c r="BH62" s="784"/>
      <c r="BI62" s="784"/>
      <c r="BJ62" s="784"/>
      <c r="BK62" s="784"/>
      <c r="BL62" s="784"/>
      <c r="BM62" s="784"/>
      <c r="BN62" s="784"/>
      <c r="BO62" s="784"/>
      <c r="BP62" s="784"/>
      <c r="BQ62" s="784"/>
      <c r="BR62" s="784"/>
      <c r="BS62" s="784"/>
      <c r="BT62" s="784"/>
      <c r="BU62" s="784"/>
      <c r="BV62" s="784"/>
      <c r="BW62" s="784"/>
      <c r="BX62" s="784"/>
      <c r="BY62" s="784"/>
      <c r="BZ62" s="784"/>
    </row>
    <row r="63" spans="1:78" ht="14.25">
      <c r="A63" s="784"/>
      <c r="B63" s="784"/>
      <c r="C63" s="784"/>
      <c r="D63" s="784"/>
      <c r="E63" s="784"/>
      <c r="F63" s="784"/>
      <c r="G63" s="784"/>
      <c r="H63" s="784"/>
      <c r="I63" s="784"/>
      <c r="J63" s="784"/>
      <c r="K63" s="784"/>
      <c r="L63" s="784"/>
      <c r="M63" s="784"/>
      <c r="N63" s="784"/>
      <c r="O63" s="784"/>
      <c r="P63" s="784"/>
      <c r="Q63" s="784"/>
      <c r="R63" s="784"/>
      <c r="S63" s="784"/>
      <c r="T63" s="785"/>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4"/>
      <c r="AY63" s="784"/>
      <c r="AZ63" s="784"/>
      <c r="BA63" s="784"/>
      <c r="BB63" s="784"/>
      <c r="BC63" s="784"/>
      <c r="BD63" s="784"/>
      <c r="BE63" s="784"/>
      <c r="BF63" s="784"/>
      <c r="BG63" s="784"/>
      <c r="BH63" s="784"/>
      <c r="BI63" s="784"/>
      <c r="BJ63" s="784"/>
      <c r="BK63" s="784"/>
      <c r="BL63" s="784"/>
      <c r="BM63" s="784"/>
      <c r="BN63" s="784"/>
      <c r="BO63" s="784"/>
      <c r="BP63" s="784"/>
      <c r="BQ63" s="784"/>
      <c r="BR63" s="784"/>
      <c r="BS63" s="784"/>
      <c r="BT63" s="784"/>
      <c r="BU63" s="784"/>
      <c r="BV63" s="784"/>
      <c r="BW63" s="784"/>
      <c r="BX63" s="784"/>
      <c r="BY63" s="784"/>
      <c r="BZ63" s="784"/>
    </row>
    <row r="64" spans="1:78" ht="14.25">
      <c r="A64" s="784"/>
      <c r="B64" s="784"/>
      <c r="C64" s="784"/>
      <c r="D64" s="784"/>
      <c r="E64" s="784"/>
      <c r="F64" s="784"/>
      <c r="G64" s="784"/>
      <c r="H64" s="784"/>
      <c r="I64" s="784"/>
      <c r="J64" s="784"/>
      <c r="K64" s="784"/>
      <c r="L64" s="784"/>
      <c r="M64" s="784"/>
      <c r="N64" s="784"/>
      <c r="O64" s="784"/>
      <c r="P64" s="784"/>
      <c r="Q64" s="784"/>
      <c r="R64" s="784"/>
      <c r="S64" s="784"/>
      <c r="T64" s="785"/>
      <c r="U64" s="784"/>
      <c r="V64" s="784"/>
      <c r="W64" s="784"/>
      <c r="X64" s="784"/>
      <c r="Y64" s="784"/>
      <c r="Z64" s="784"/>
      <c r="AA64" s="784"/>
      <c r="AB64" s="784"/>
      <c r="AC64" s="784"/>
      <c r="AD64" s="784"/>
      <c r="AE64" s="784"/>
      <c r="AF64" s="784"/>
      <c r="AG64" s="784"/>
      <c r="AH64" s="784"/>
      <c r="AI64" s="784"/>
      <c r="AJ64" s="784"/>
      <c r="AK64" s="784"/>
      <c r="AL64" s="784"/>
      <c r="AM64" s="784"/>
      <c r="AN64" s="784"/>
      <c r="AO64" s="784"/>
      <c r="AP64" s="784"/>
      <c r="AQ64" s="784"/>
      <c r="AR64" s="784"/>
      <c r="AS64" s="784"/>
      <c r="AT64" s="784"/>
      <c r="AU64" s="784"/>
      <c r="AV64" s="784"/>
      <c r="AW64" s="784"/>
      <c r="AX64" s="784"/>
      <c r="AY64" s="784"/>
      <c r="AZ64" s="784"/>
      <c r="BA64" s="784"/>
      <c r="BB64" s="784"/>
      <c r="BC64" s="784"/>
      <c r="BD64" s="784"/>
      <c r="BE64" s="784"/>
      <c r="BF64" s="784"/>
      <c r="BG64" s="784"/>
      <c r="BH64" s="784"/>
      <c r="BI64" s="784"/>
      <c r="BJ64" s="784"/>
      <c r="BK64" s="784"/>
      <c r="BL64" s="784"/>
      <c r="BM64" s="784"/>
      <c r="BN64" s="784"/>
      <c r="BO64" s="784"/>
      <c r="BP64" s="784"/>
      <c r="BQ64" s="784"/>
      <c r="BR64" s="784"/>
      <c r="BS64" s="784"/>
      <c r="BT64" s="784"/>
      <c r="BU64" s="784"/>
      <c r="BV64" s="784"/>
      <c r="BW64" s="784"/>
      <c r="BX64" s="784"/>
      <c r="BY64" s="784"/>
      <c r="BZ64" s="784"/>
    </row>
    <row r="65" spans="1:78" ht="14.25">
      <c r="A65" s="784"/>
      <c r="B65" s="784"/>
      <c r="C65" s="784"/>
      <c r="D65" s="784"/>
      <c r="E65" s="784"/>
      <c r="F65" s="784"/>
      <c r="G65" s="784"/>
      <c r="H65" s="784"/>
      <c r="I65" s="784"/>
      <c r="J65" s="784"/>
      <c r="K65" s="784"/>
      <c r="L65" s="784"/>
      <c r="M65" s="784"/>
      <c r="N65" s="784"/>
      <c r="O65" s="784"/>
      <c r="P65" s="784"/>
      <c r="Q65" s="784"/>
      <c r="R65" s="784"/>
      <c r="S65" s="784"/>
      <c r="T65" s="785"/>
      <c r="U65" s="784"/>
      <c r="V65" s="784"/>
      <c r="W65" s="784"/>
      <c r="X65" s="784"/>
      <c r="Y65" s="784"/>
      <c r="Z65" s="784"/>
      <c r="AA65" s="784"/>
      <c r="AB65" s="784"/>
      <c r="AC65" s="784"/>
      <c r="AD65" s="784"/>
      <c r="AE65" s="784"/>
      <c r="AF65" s="784"/>
      <c r="AG65" s="784"/>
      <c r="AH65" s="784"/>
      <c r="AI65" s="784"/>
      <c r="AJ65" s="784"/>
      <c r="AK65" s="784"/>
      <c r="AL65" s="784"/>
      <c r="AM65" s="784"/>
      <c r="AN65" s="784"/>
      <c r="AO65" s="784"/>
      <c r="AP65" s="784"/>
      <c r="AQ65" s="784"/>
      <c r="AR65" s="784"/>
      <c r="AS65" s="784"/>
      <c r="AT65" s="784"/>
      <c r="AU65" s="784"/>
      <c r="AV65" s="784"/>
      <c r="AW65" s="784"/>
      <c r="AX65" s="784"/>
      <c r="AY65" s="784"/>
      <c r="AZ65" s="784"/>
      <c r="BA65" s="784"/>
      <c r="BB65" s="784"/>
      <c r="BC65" s="784"/>
      <c r="BD65" s="784"/>
      <c r="BE65" s="784"/>
      <c r="BF65" s="784"/>
      <c r="BG65" s="784"/>
      <c r="BH65" s="784"/>
      <c r="BI65" s="784"/>
      <c r="BJ65" s="784"/>
      <c r="BK65" s="784"/>
      <c r="BL65" s="784"/>
      <c r="BM65" s="784"/>
      <c r="BN65" s="784"/>
      <c r="BO65" s="784"/>
      <c r="BP65" s="784"/>
      <c r="BQ65" s="784"/>
      <c r="BR65" s="784"/>
      <c r="BS65" s="784"/>
      <c r="BT65" s="784"/>
      <c r="BU65" s="784"/>
      <c r="BV65" s="784"/>
      <c r="BW65" s="784"/>
      <c r="BX65" s="784"/>
      <c r="BY65" s="784"/>
      <c r="BZ65" s="784"/>
    </row>
    <row r="66" spans="1:78" ht="14.25">
      <c r="A66" s="784"/>
      <c r="B66" s="784"/>
      <c r="C66" s="784"/>
      <c r="D66" s="784"/>
      <c r="E66" s="784"/>
      <c r="F66" s="784"/>
      <c r="G66" s="784"/>
      <c r="H66" s="784"/>
      <c r="I66" s="784"/>
      <c r="J66" s="784"/>
      <c r="K66" s="784"/>
      <c r="L66" s="784"/>
      <c r="M66" s="784"/>
      <c r="N66" s="784"/>
      <c r="O66" s="784"/>
      <c r="P66" s="784"/>
      <c r="Q66" s="784"/>
      <c r="R66" s="784"/>
      <c r="S66" s="784"/>
      <c r="T66" s="785"/>
      <c r="U66" s="784"/>
      <c r="V66" s="784"/>
      <c r="W66" s="784"/>
      <c r="X66" s="784"/>
      <c r="Y66" s="784"/>
      <c r="Z66" s="784"/>
      <c r="AA66" s="784"/>
      <c r="AB66" s="784"/>
      <c r="AC66" s="784"/>
      <c r="AD66" s="784"/>
      <c r="AE66" s="784"/>
      <c r="AF66" s="784"/>
      <c r="AG66" s="784"/>
      <c r="AH66" s="784"/>
      <c r="AI66" s="784"/>
      <c r="AJ66" s="784"/>
      <c r="AK66" s="784"/>
      <c r="AL66" s="784"/>
      <c r="AM66" s="784"/>
      <c r="AN66" s="784"/>
      <c r="AO66" s="784"/>
      <c r="AP66" s="784"/>
      <c r="AQ66" s="784"/>
      <c r="AR66" s="784"/>
      <c r="AS66" s="784"/>
      <c r="AT66" s="784"/>
      <c r="AU66" s="784"/>
      <c r="AV66" s="784"/>
      <c r="AW66" s="784"/>
      <c r="AX66" s="784"/>
      <c r="AY66" s="784"/>
      <c r="AZ66" s="784"/>
      <c r="BA66" s="784"/>
      <c r="BB66" s="784"/>
      <c r="BC66" s="784"/>
      <c r="BD66" s="784"/>
      <c r="BE66" s="784"/>
      <c r="BF66" s="784"/>
      <c r="BG66" s="784"/>
      <c r="BH66" s="784"/>
      <c r="BI66" s="784"/>
      <c r="BJ66" s="784"/>
      <c r="BK66" s="784"/>
      <c r="BL66" s="784"/>
      <c r="BM66" s="784"/>
      <c r="BN66" s="784"/>
      <c r="BO66" s="784"/>
      <c r="BP66" s="784"/>
      <c r="BQ66" s="784"/>
      <c r="BR66" s="784"/>
      <c r="BS66" s="784"/>
      <c r="BT66" s="784"/>
      <c r="BU66" s="784"/>
      <c r="BV66" s="784"/>
      <c r="BW66" s="784"/>
      <c r="BX66" s="784"/>
      <c r="BY66" s="784"/>
      <c r="BZ66" s="784"/>
    </row>
    <row r="67" spans="1:78" ht="14.25">
      <c r="A67" s="784"/>
      <c r="B67" s="784"/>
      <c r="C67" s="784"/>
      <c r="D67" s="784"/>
      <c r="E67" s="784"/>
      <c r="F67" s="784"/>
      <c r="G67" s="784"/>
      <c r="H67" s="784"/>
      <c r="I67" s="784"/>
      <c r="J67" s="784"/>
      <c r="K67" s="784"/>
      <c r="L67" s="784"/>
      <c r="M67" s="784"/>
      <c r="N67" s="784"/>
      <c r="O67" s="784"/>
      <c r="P67" s="784"/>
      <c r="Q67" s="784"/>
      <c r="R67" s="784"/>
      <c r="S67" s="784"/>
      <c r="T67" s="785"/>
      <c r="U67" s="784"/>
      <c r="V67" s="784"/>
      <c r="W67" s="784"/>
      <c r="X67" s="784"/>
      <c r="Y67" s="784"/>
      <c r="Z67" s="784"/>
      <c r="AA67" s="784"/>
      <c r="AB67" s="784"/>
      <c r="AC67" s="784"/>
      <c r="AD67" s="784"/>
      <c r="AE67" s="784"/>
      <c r="AF67" s="784"/>
      <c r="AG67" s="784"/>
      <c r="AH67" s="784"/>
      <c r="AI67" s="784"/>
      <c r="AJ67" s="784"/>
      <c r="AK67" s="784"/>
      <c r="AL67" s="784"/>
      <c r="AM67" s="784"/>
      <c r="AN67" s="784"/>
      <c r="AO67" s="784"/>
      <c r="AP67" s="784"/>
      <c r="AQ67" s="784"/>
      <c r="AR67" s="784"/>
      <c r="AS67" s="784"/>
      <c r="AT67" s="784"/>
      <c r="AU67" s="784"/>
      <c r="AV67" s="784"/>
      <c r="AW67" s="784"/>
      <c r="AX67" s="784"/>
      <c r="AY67" s="784"/>
      <c r="AZ67" s="784"/>
      <c r="BA67" s="784"/>
      <c r="BB67" s="784"/>
      <c r="BC67" s="784"/>
      <c r="BD67" s="784"/>
      <c r="BE67" s="784"/>
      <c r="BF67" s="784"/>
      <c r="BG67" s="784"/>
      <c r="BH67" s="784"/>
      <c r="BI67" s="784"/>
      <c r="BJ67" s="784"/>
      <c r="BK67" s="784"/>
      <c r="BL67" s="784"/>
      <c r="BM67" s="784"/>
      <c r="BN67" s="784"/>
      <c r="BO67" s="784"/>
      <c r="BP67" s="784"/>
      <c r="BQ67" s="784"/>
      <c r="BR67" s="784"/>
      <c r="BS67" s="784"/>
      <c r="BT67" s="784"/>
      <c r="BU67" s="784"/>
      <c r="BV67" s="784"/>
      <c r="BW67" s="784"/>
      <c r="BX67" s="784"/>
      <c r="BY67" s="784"/>
      <c r="BZ67" s="784"/>
    </row>
    <row r="68" spans="1:78" ht="14.25">
      <c r="A68" s="784"/>
      <c r="B68" s="784"/>
      <c r="C68" s="784"/>
      <c r="D68" s="784"/>
      <c r="E68" s="784"/>
      <c r="F68" s="784"/>
      <c r="G68" s="784"/>
      <c r="H68" s="784"/>
      <c r="I68" s="784"/>
      <c r="J68" s="784"/>
      <c r="K68" s="784"/>
      <c r="L68" s="784"/>
      <c r="M68" s="784"/>
      <c r="N68" s="784"/>
      <c r="O68" s="784"/>
      <c r="P68" s="784"/>
      <c r="Q68" s="784"/>
      <c r="R68" s="784"/>
      <c r="S68" s="784"/>
      <c r="T68" s="785"/>
      <c r="U68" s="784"/>
      <c r="V68" s="784"/>
      <c r="W68" s="784"/>
      <c r="X68" s="784"/>
      <c r="Y68" s="784"/>
      <c r="Z68" s="784"/>
      <c r="AA68" s="784"/>
      <c r="AB68" s="784"/>
      <c r="AC68" s="784"/>
      <c r="AD68" s="784"/>
      <c r="AE68" s="784"/>
      <c r="AF68" s="784"/>
      <c r="AG68" s="784"/>
      <c r="AH68" s="784"/>
      <c r="AI68" s="784"/>
      <c r="AJ68" s="784"/>
      <c r="AK68" s="784"/>
      <c r="AL68" s="784"/>
      <c r="AM68" s="784"/>
      <c r="AN68" s="784"/>
      <c r="AO68" s="784"/>
      <c r="AP68" s="784"/>
      <c r="AQ68" s="784"/>
      <c r="AR68" s="784"/>
      <c r="AS68" s="784"/>
      <c r="AT68" s="784"/>
      <c r="AU68" s="784"/>
      <c r="AV68" s="784"/>
      <c r="AW68" s="784"/>
      <c r="AX68" s="784"/>
      <c r="AY68" s="784"/>
      <c r="AZ68" s="784"/>
      <c r="BA68" s="784"/>
      <c r="BB68" s="784"/>
      <c r="BC68" s="784"/>
      <c r="BD68" s="784"/>
      <c r="BE68" s="784"/>
      <c r="BF68" s="784"/>
      <c r="BG68" s="784"/>
      <c r="BH68" s="784"/>
      <c r="BI68" s="784"/>
      <c r="BJ68" s="784"/>
      <c r="BK68" s="784"/>
      <c r="BL68" s="784"/>
      <c r="BM68" s="784"/>
      <c r="BN68" s="784"/>
      <c r="BO68" s="784"/>
      <c r="BP68" s="784"/>
      <c r="BQ68" s="784"/>
      <c r="BR68" s="784"/>
      <c r="BS68" s="784"/>
      <c r="BT68" s="784"/>
      <c r="BU68" s="784"/>
      <c r="BV68" s="784"/>
      <c r="BW68" s="784"/>
      <c r="BX68" s="784"/>
      <c r="BY68" s="784"/>
      <c r="BZ68" s="784"/>
    </row>
    <row r="69" spans="1:78" ht="14.25">
      <c r="A69" s="784"/>
      <c r="B69" s="784"/>
      <c r="C69" s="784"/>
      <c r="D69" s="784"/>
      <c r="E69" s="784"/>
      <c r="F69" s="784"/>
      <c r="G69" s="784"/>
      <c r="H69" s="784"/>
      <c r="I69" s="784"/>
      <c r="J69" s="784"/>
      <c r="K69" s="784"/>
      <c r="L69" s="784"/>
      <c r="M69" s="784"/>
      <c r="N69" s="784"/>
      <c r="O69" s="784"/>
      <c r="P69" s="784"/>
      <c r="Q69" s="784"/>
      <c r="R69" s="784"/>
      <c r="S69" s="784"/>
      <c r="T69" s="785"/>
      <c r="U69" s="784"/>
      <c r="V69" s="784"/>
      <c r="W69" s="784"/>
      <c r="X69" s="784"/>
      <c r="Y69" s="784"/>
      <c r="Z69" s="784"/>
      <c r="AA69" s="784"/>
      <c r="AB69" s="784"/>
      <c r="AC69" s="784"/>
      <c r="AD69" s="784"/>
      <c r="AE69" s="784"/>
      <c r="AF69" s="784"/>
      <c r="AG69" s="784"/>
      <c r="AH69" s="784"/>
      <c r="AI69" s="784"/>
      <c r="AJ69" s="784"/>
      <c r="AK69" s="784"/>
      <c r="AL69" s="784"/>
      <c r="AM69" s="784"/>
      <c r="AN69" s="784"/>
      <c r="AO69" s="784"/>
      <c r="AP69" s="784"/>
      <c r="AQ69" s="784"/>
      <c r="AR69" s="784"/>
      <c r="AS69" s="784"/>
      <c r="AT69" s="784"/>
      <c r="AU69" s="784"/>
      <c r="AV69" s="784"/>
      <c r="AW69" s="784"/>
      <c r="AX69" s="784"/>
      <c r="AY69" s="784"/>
      <c r="AZ69" s="784"/>
      <c r="BA69" s="784"/>
      <c r="BB69" s="784"/>
      <c r="BC69" s="784"/>
      <c r="BD69" s="784"/>
      <c r="BE69" s="784"/>
      <c r="BF69" s="784"/>
      <c r="BG69" s="784"/>
      <c r="BH69" s="784"/>
      <c r="BI69" s="784"/>
      <c r="BJ69" s="784"/>
      <c r="BK69" s="784"/>
      <c r="BL69" s="784"/>
      <c r="BM69" s="784"/>
      <c r="BN69" s="784"/>
      <c r="BO69" s="784"/>
      <c r="BP69" s="784"/>
      <c r="BQ69" s="784"/>
      <c r="BR69" s="784"/>
      <c r="BS69" s="784"/>
      <c r="BT69" s="784"/>
      <c r="BU69" s="784"/>
      <c r="BV69" s="784"/>
      <c r="BW69" s="784"/>
      <c r="BX69" s="784"/>
      <c r="BY69" s="784"/>
      <c r="BZ69" s="784"/>
    </row>
    <row r="70" spans="1:78" ht="14.25">
      <c r="A70" s="784"/>
      <c r="B70" s="784"/>
      <c r="C70" s="784"/>
      <c r="D70" s="784"/>
      <c r="E70" s="784"/>
      <c r="F70" s="784"/>
      <c r="G70" s="784"/>
      <c r="H70" s="784"/>
      <c r="I70" s="784"/>
      <c r="J70" s="784"/>
      <c r="K70" s="784"/>
      <c r="L70" s="784"/>
      <c r="M70" s="784"/>
      <c r="N70" s="784"/>
      <c r="O70" s="784"/>
      <c r="P70" s="784"/>
      <c r="Q70" s="784"/>
      <c r="R70" s="784"/>
      <c r="S70" s="784"/>
      <c r="T70" s="785"/>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4"/>
      <c r="AY70" s="784"/>
      <c r="AZ70" s="784"/>
      <c r="BA70" s="784"/>
      <c r="BB70" s="784"/>
      <c r="BC70" s="784"/>
      <c r="BD70" s="784"/>
      <c r="BE70" s="784"/>
      <c r="BF70" s="784"/>
      <c r="BG70" s="784"/>
      <c r="BH70" s="784"/>
      <c r="BI70" s="784"/>
      <c r="BJ70" s="784"/>
      <c r="BK70" s="784"/>
      <c r="BL70" s="784"/>
      <c r="BM70" s="784"/>
      <c r="BN70" s="784"/>
      <c r="BO70" s="784"/>
      <c r="BP70" s="784"/>
      <c r="BQ70" s="784"/>
      <c r="BR70" s="784"/>
      <c r="BS70" s="784"/>
      <c r="BT70" s="784"/>
      <c r="BU70" s="784"/>
      <c r="BV70" s="784"/>
      <c r="BW70" s="784"/>
      <c r="BX70" s="784"/>
      <c r="BY70" s="784"/>
      <c r="BZ70" s="784"/>
    </row>
    <row r="71" spans="1:78" ht="14.25">
      <c r="A71" s="784"/>
      <c r="B71" s="784"/>
      <c r="C71" s="784"/>
      <c r="D71" s="784"/>
      <c r="E71" s="784"/>
      <c r="F71" s="784"/>
      <c r="G71" s="784"/>
      <c r="H71" s="784"/>
      <c r="I71" s="784"/>
      <c r="J71" s="784"/>
      <c r="K71" s="784"/>
      <c r="L71" s="784"/>
      <c r="M71" s="784"/>
      <c r="N71" s="784"/>
      <c r="O71" s="784"/>
      <c r="P71" s="784"/>
      <c r="Q71" s="784"/>
      <c r="R71" s="784"/>
      <c r="S71" s="784"/>
      <c r="T71" s="785"/>
      <c r="U71" s="784"/>
      <c r="V71" s="784"/>
      <c r="W71" s="784"/>
      <c r="X71" s="784"/>
      <c r="Y71" s="784"/>
      <c r="Z71" s="784"/>
      <c r="AA71" s="784"/>
      <c r="AB71" s="784"/>
      <c r="AC71" s="784"/>
      <c r="AD71" s="784"/>
      <c r="AE71" s="784"/>
      <c r="AF71" s="784"/>
      <c r="AG71" s="784"/>
      <c r="AH71" s="784"/>
      <c r="AI71" s="784"/>
      <c r="AJ71" s="784"/>
      <c r="AK71" s="784"/>
      <c r="AL71" s="784"/>
      <c r="AM71" s="784"/>
      <c r="AN71" s="784"/>
      <c r="AO71" s="784"/>
      <c r="AP71" s="784"/>
      <c r="AQ71" s="784"/>
      <c r="AR71" s="784"/>
      <c r="AS71" s="784"/>
      <c r="AT71" s="784"/>
      <c r="AU71" s="784"/>
      <c r="AV71" s="784"/>
      <c r="AW71" s="784"/>
      <c r="AX71" s="784"/>
      <c r="AY71" s="784"/>
      <c r="AZ71" s="784"/>
      <c r="BA71" s="784"/>
      <c r="BB71" s="784"/>
      <c r="BC71" s="784"/>
      <c r="BD71" s="784"/>
      <c r="BE71" s="784"/>
      <c r="BF71" s="784"/>
      <c r="BG71" s="784"/>
      <c r="BH71" s="784"/>
      <c r="BI71" s="784"/>
      <c r="BJ71" s="784"/>
      <c r="BK71" s="784"/>
      <c r="BL71" s="784"/>
      <c r="BM71" s="784"/>
      <c r="BN71" s="784"/>
      <c r="BO71" s="784"/>
      <c r="BP71" s="784"/>
      <c r="BQ71" s="784"/>
      <c r="BR71" s="784"/>
      <c r="BS71" s="784"/>
      <c r="BT71" s="784"/>
      <c r="BU71" s="784"/>
      <c r="BV71" s="784"/>
      <c r="BW71" s="784"/>
      <c r="BX71" s="784"/>
      <c r="BY71" s="784"/>
      <c r="BZ71" s="784"/>
    </row>
    <row r="72" spans="1:78" ht="14.25">
      <c r="A72" s="784"/>
      <c r="B72" s="784"/>
      <c r="C72" s="784"/>
      <c r="D72" s="784"/>
      <c r="E72" s="784"/>
      <c r="F72" s="784"/>
      <c r="G72" s="784"/>
      <c r="H72" s="784"/>
      <c r="I72" s="784"/>
      <c r="J72" s="784"/>
      <c r="K72" s="784"/>
      <c r="L72" s="784"/>
      <c r="M72" s="784"/>
      <c r="N72" s="784"/>
      <c r="O72" s="784"/>
      <c r="P72" s="784"/>
      <c r="Q72" s="784"/>
      <c r="R72" s="784"/>
      <c r="S72" s="784"/>
      <c r="T72" s="785"/>
      <c r="U72" s="784"/>
      <c r="V72" s="784"/>
      <c r="W72" s="784"/>
      <c r="X72" s="784"/>
      <c r="Y72" s="784"/>
      <c r="Z72" s="784"/>
      <c r="AA72" s="784"/>
      <c r="AB72" s="784"/>
      <c r="AC72" s="784"/>
      <c r="AD72" s="784"/>
      <c r="AE72" s="784"/>
      <c r="AF72" s="784"/>
      <c r="AG72" s="784"/>
      <c r="AH72" s="784"/>
      <c r="AI72" s="784"/>
      <c r="AJ72" s="784"/>
      <c r="AK72" s="784"/>
      <c r="AL72" s="784"/>
      <c r="AM72" s="784"/>
      <c r="AN72" s="784"/>
      <c r="AO72" s="784"/>
      <c r="AP72" s="784"/>
      <c r="AQ72" s="784"/>
      <c r="AR72" s="784"/>
      <c r="AS72" s="784"/>
      <c r="AT72" s="784"/>
      <c r="AU72" s="784"/>
      <c r="AV72" s="784"/>
      <c r="AW72" s="784"/>
      <c r="AX72" s="784"/>
      <c r="AY72" s="784"/>
      <c r="AZ72" s="784"/>
      <c r="BA72" s="784"/>
      <c r="BB72" s="784"/>
      <c r="BC72" s="784"/>
      <c r="BD72" s="784"/>
      <c r="BE72" s="784"/>
      <c r="BF72" s="784"/>
      <c r="BG72" s="784"/>
      <c r="BH72" s="784"/>
      <c r="BI72" s="784"/>
      <c r="BJ72" s="784"/>
      <c r="BK72" s="784"/>
      <c r="BL72" s="784"/>
      <c r="BM72" s="784"/>
      <c r="BN72" s="784"/>
      <c r="BO72" s="784"/>
      <c r="BP72" s="784"/>
      <c r="BQ72" s="784"/>
      <c r="BR72" s="784"/>
      <c r="BS72" s="784"/>
      <c r="BT72" s="784"/>
      <c r="BU72" s="784"/>
      <c r="BV72" s="784"/>
      <c r="BW72" s="784"/>
      <c r="BX72" s="784"/>
      <c r="BY72" s="784"/>
      <c r="BZ72" s="784"/>
    </row>
    <row r="73" spans="1:78" ht="14.25">
      <c r="A73" s="784"/>
      <c r="B73" s="784"/>
      <c r="C73" s="784"/>
      <c r="D73" s="784"/>
      <c r="E73" s="784"/>
      <c r="F73" s="784"/>
      <c r="G73" s="784"/>
      <c r="H73" s="784"/>
      <c r="I73" s="784"/>
      <c r="J73" s="784"/>
      <c r="K73" s="784"/>
      <c r="L73" s="784"/>
      <c r="M73" s="784"/>
      <c r="N73" s="784"/>
      <c r="O73" s="784"/>
      <c r="P73" s="784"/>
      <c r="Q73" s="784"/>
      <c r="R73" s="784"/>
      <c r="S73" s="784"/>
      <c r="T73" s="785"/>
      <c r="U73" s="784"/>
      <c r="V73" s="784"/>
      <c r="W73" s="784"/>
      <c r="X73" s="784"/>
      <c r="Y73" s="784"/>
      <c r="Z73" s="784"/>
      <c r="AA73" s="784"/>
      <c r="AB73" s="784"/>
      <c r="AC73" s="784"/>
      <c r="AD73" s="784"/>
      <c r="AE73" s="784"/>
      <c r="AF73" s="784"/>
      <c r="AG73" s="784"/>
      <c r="AH73" s="784"/>
      <c r="AI73" s="784"/>
      <c r="AJ73" s="784"/>
      <c r="AK73" s="784"/>
      <c r="AL73" s="784"/>
      <c r="AM73" s="784"/>
      <c r="AN73" s="784"/>
      <c r="AO73" s="784"/>
      <c r="AP73" s="784"/>
      <c r="AQ73" s="784"/>
      <c r="AR73" s="784"/>
      <c r="AS73" s="784"/>
      <c r="AT73" s="784"/>
      <c r="AU73" s="784"/>
      <c r="AV73" s="784"/>
      <c r="AW73" s="784"/>
      <c r="AX73" s="784"/>
      <c r="AY73" s="784"/>
      <c r="AZ73" s="784"/>
      <c r="BA73" s="784"/>
      <c r="BB73" s="784"/>
      <c r="BC73" s="784"/>
      <c r="BD73" s="784"/>
      <c r="BE73" s="784"/>
      <c r="BF73" s="784"/>
      <c r="BG73" s="784"/>
      <c r="BH73" s="784"/>
      <c r="BI73" s="784"/>
      <c r="BJ73" s="784"/>
      <c r="BK73" s="784"/>
      <c r="BL73" s="784"/>
      <c r="BM73" s="784"/>
      <c r="BN73" s="784"/>
      <c r="BO73" s="784"/>
      <c r="BP73" s="784"/>
      <c r="BQ73" s="784"/>
      <c r="BR73" s="784"/>
      <c r="BS73" s="784"/>
      <c r="BT73" s="784"/>
      <c r="BU73" s="784"/>
      <c r="BV73" s="784"/>
      <c r="BW73" s="784"/>
      <c r="BX73" s="784"/>
      <c r="BY73" s="784"/>
      <c r="BZ73" s="784"/>
    </row>
    <row r="74" spans="1:78" ht="14.25">
      <c r="A74" s="784"/>
      <c r="B74" s="784"/>
      <c r="C74" s="784"/>
      <c r="D74" s="784"/>
      <c r="E74" s="784"/>
      <c r="F74" s="784"/>
      <c r="G74" s="784"/>
      <c r="H74" s="784"/>
      <c r="I74" s="784"/>
      <c r="J74" s="784"/>
      <c r="K74" s="784"/>
      <c r="L74" s="784"/>
      <c r="M74" s="784"/>
      <c r="N74" s="784"/>
      <c r="O74" s="784"/>
      <c r="P74" s="784"/>
      <c r="Q74" s="784"/>
      <c r="R74" s="784"/>
      <c r="S74" s="784"/>
      <c r="T74" s="785"/>
      <c r="U74" s="784"/>
      <c r="V74" s="784"/>
      <c r="W74" s="784"/>
      <c r="X74" s="784"/>
      <c r="Y74" s="784"/>
      <c r="Z74" s="784"/>
      <c r="AA74" s="784"/>
      <c r="AB74" s="784"/>
      <c r="AC74" s="784"/>
      <c r="AD74" s="784"/>
      <c r="AE74" s="784"/>
      <c r="AF74" s="784"/>
      <c r="AG74" s="784"/>
      <c r="AH74" s="784"/>
      <c r="AI74" s="784"/>
      <c r="AJ74" s="784"/>
      <c r="AK74" s="784"/>
      <c r="AL74" s="784"/>
      <c r="AM74" s="784"/>
      <c r="AN74" s="784"/>
      <c r="AO74" s="784"/>
      <c r="AP74" s="784"/>
      <c r="AQ74" s="784"/>
      <c r="AR74" s="784"/>
      <c r="AS74" s="784"/>
      <c r="AT74" s="784"/>
      <c r="AU74" s="784"/>
      <c r="AV74" s="784"/>
      <c r="AW74" s="784"/>
      <c r="AX74" s="784"/>
      <c r="AY74" s="784"/>
      <c r="AZ74" s="784"/>
      <c r="BA74" s="784"/>
      <c r="BB74" s="784"/>
      <c r="BC74" s="784"/>
      <c r="BD74" s="784"/>
      <c r="BE74" s="784"/>
      <c r="BF74" s="784"/>
      <c r="BG74" s="784"/>
      <c r="BH74" s="784"/>
      <c r="BI74" s="784"/>
      <c r="BJ74" s="784"/>
      <c r="BK74" s="784"/>
      <c r="BL74" s="784"/>
      <c r="BM74" s="784"/>
      <c r="BN74" s="784"/>
      <c r="BO74" s="784"/>
      <c r="BP74" s="784"/>
      <c r="BQ74" s="784"/>
      <c r="BR74" s="784"/>
      <c r="BS74" s="784"/>
      <c r="BT74" s="784"/>
      <c r="BU74" s="784"/>
      <c r="BV74" s="784"/>
      <c r="BW74" s="784"/>
      <c r="BX74" s="784"/>
      <c r="BY74" s="784"/>
      <c r="BZ74" s="784"/>
    </row>
    <row r="75" spans="1:78" ht="14.25">
      <c r="A75" s="784"/>
      <c r="B75" s="784"/>
      <c r="C75" s="784"/>
      <c r="D75" s="784"/>
      <c r="E75" s="784"/>
      <c r="F75" s="784"/>
      <c r="G75" s="784"/>
      <c r="H75" s="784"/>
      <c r="I75" s="784"/>
      <c r="J75" s="784"/>
      <c r="K75" s="784"/>
      <c r="L75" s="784"/>
      <c r="M75" s="784"/>
      <c r="N75" s="784"/>
      <c r="O75" s="784"/>
      <c r="P75" s="784"/>
      <c r="Q75" s="784"/>
      <c r="R75" s="784"/>
      <c r="S75" s="784"/>
      <c r="T75" s="785"/>
      <c r="U75" s="784"/>
      <c r="V75" s="784"/>
      <c r="W75" s="784"/>
      <c r="X75" s="784"/>
      <c r="Y75" s="784"/>
      <c r="Z75" s="784"/>
      <c r="AA75" s="784"/>
      <c r="AB75" s="784"/>
      <c r="AC75" s="784"/>
      <c r="AD75" s="784"/>
      <c r="AE75" s="784"/>
      <c r="AF75" s="784"/>
      <c r="AG75" s="784"/>
      <c r="AH75" s="784"/>
      <c r="AI75" s="784"/>
      <c r="AJ75" s="784"/>
      <c r="AK75" s="784"/>
      <c r="AL75" s="784"/>
      <c r="AM75" s="784"/>
      <c r="AN75" s="784"/>
      <c r="AO75" s="784"/>
      <c r="AP75" s="784"/>
      <c r="AQ75" s="784"/>
      <c r="AR75" s="784"/>
      <c r="AS75" s="784"/>
      <c r="AT75" s="784"/>
      <c r="AU75" s="784"/>
      <c r="AV75" s="784"/>
      <c r="AW75" s="784"/>
      <c r="AX75" s="784"/>
      <c r="AY75" s="784"/>
      <c r="AZ75" s="784"/>
      <c r="BA75" s="784"/>
      <c r="BB75" s="784"/>
      <c r="BC75" s="784"/>
      <c r="BD75" s="784"/>
      <c r="BE75" s="784"/>
      <c r="BF75" s="784"/>
      <c r="BG75" s="784"/>
      <c r="BH75" s="784"/>
      <c r="BI75" s="784"/>
      <c r="BJ75" s="784"/>
      <c r="BK75" s="784"/>
      <c r="BL75" s="784"/>
      <c r="BM75" s="784"/>
      <c r="BN75" s="784"/>
      <c r="BO75" s="784"/>
      <c r="BP75" s="784"/>
      <c r="BQ75" s="784"/>
      <c r="BR75" s="784"/>
      <c r="BS75" s="784"/>
      <c r="BT75" s="784"/>
      <c r="BU75" s="784"/>
      <c r="BV75" s="784"/>
      <c r="BW75" s="784"/>
      <c r="BX75" s="784"/>
      <c r="BY75" s="784"/>
      <c r="BZ75" s="784"/>
    </row>
    <row r="76" spans="1:78" ht="14.25">
      <c r="A76" s="784"/>
      <c r="B76" s="784"/>
      <c r="C76" s="784"/>
      <c r="D76" s="784"/>
      <c r="E76" s="784"/>
      <c r="F76" s="784"/>
      <c r="G76" s="784"/>
      <c r="H76" s="784"/>
      <c r="I76" s="784"/>
      <c r="J76" s="784"/>
      <c r="K76" s="784"/>
      <c r="L76" s="784"/>
      <c r="M76" s="784"/>
      <c r="N76" s="784"/>
      <c r="O76" s="784"/>
      <c r="P76" s="784"/>
      <c r="Q76" s="784"/>
      <c r="R76" s="784"/>
      <c r="S76" s="784"/>
      <c r="T76" s="785"/>
      <c r="U76" s="784"/>
      <c r="V76" s="784"/>
      <c r="W76" s="784"/>
      <c r="X76" s="784"/>
      <c r="Y76" s="784"/>
      <c r="Z76" s="784"/>
      <c r="AA76" s="784"/>
      <c r="AB76" s="784"/>
      <c r="AC76" s="784"/>
      <c r="AD76" s="784"/>
      <c r="AE76" s="784"/>
      <c r="AF76" s="784"/>
      <c r="AG76" s="784"/>
      <c r="AH76" s="784"/>
      <c r="AI76" s="784"/>
      <c r="AJ76" s="784"/>
      <c r="AK76" s="784"/>
      <c r="AL76" s="784"/>
      <c r="AM76" s="784"/>
      <c r="AN76" s="784"/>
      <c r="AO76" s="784"/>
      <c r="AP76" s="784"/>
      <c r="AQ76" s="784"/>
      <c r="AR76" s="784"/>
      <c r="AS76" s="784"/>
      <c r="AT76" s="784"/>
      <c r="AU76" s="784"/>
      <c r="AV76" s="784"/>
      <c r="AW76" s="784"/>
      <c r="AX76" s="784"/>
      <c r="AY76" s="784"/>
      <c r="AZ76" s="784"/>
      <c r="BA76" s="784"/>
      <c r="BB76" s="784"/>
      <c r="BC76" s="784"/>
      <c r="BD76" s="784"/>
      <c r="BE76" s="784"/>
      <c r="BF76" s="784"/>
      <c r="BG76" s="784"/>
      <c r="BH76" s="784"/>
      <c r="BI76" s="784"/>
      <c r="BJ76" s="784"/>
      <c r="BK76" s="784"/>
      <c r="BL76" s="784"/>
      <c r="BM76" s="784"/>
      <c r="BN76" s="784"/>
      <c r="BO76" s="784"/>
      <c r="BP76" s="784"/>
      <c r="BQ76" s="784"/>
      <c r="BR76" s="784"/>
      <c r="BS76" s="784"/>
      <c r="BT76" s="784"/>
      <c r="BU76" s="784"/>
      <c r="BV76" s="784"/>
      <c r="BW76" s="784"/>
      <c r="BX76" s="784"/>
      <c r="BY76" s="784"/>
      <c r="BZ76" s="784"/>
    </row>
    <row r="77" spans="1:78" ht="14.25">
      <c r="A77" s="784"/>
      <c r="B77" s="784"/>
      <c r="C77" s="784"/>
      <c r="D77" s="784"/>
      <c r="E77" s="784"/>
      <c r="F77" s="784"/>
      <c r="G77" s="784"/>
      <c r="H77" s="784"/>
      <c r="I77" s="784"/>
      <c r="J77" s="784"/>
      <c r="K77" s="784"/>
      <c r="L77" s="784"/>
      <c r="M77" s="784"/>
      <c r="N77" s="784"/>
      <c r="O77" s="784"/>
      <c r="P77" s="784"/>
      <c r="Q77" s="784"/>
      <c r="R77" s="784"/>
      <c r="S77" s="784"/>
      <c r="T77" s="785"/>
      <c r="U77" s="784"/>
      <c r="V77" s="784"/>
      <c r="W77" s="784"/>
      <c r="X77" s="784"/>
      <c r="Y77" s="784"/>
      <c r="Z77" s="784"/>
      <c r="AA77" s="784"/>
      <c r="AB77" s="784"/>
      <c r="AC77" s="784"/>
      <c r="AD77" s="784"/>
      <c r="AE77" s="784"/>
      <c r="AF77" s="784"/>
      <c r="AG77" s="784"/>
      <c r="AH77" s="784"/>
      <c r="AI77" s="784"/>
      <c r="AJ77" s="784"/>
      <c r="AK77" s="784"/>
      <c r="AL77" s="784"/>
      <c r="AM77" s="784"/>
      <c r="AN77" s="784"/>
      <c r="AO77" s="784"/>
      <c r="AP77" s="784"/>
      <c r="AQ77" s="784"/>
      <c r="AR77" s="784"/>
      <c r="AS77" s="784"/>
      <c r="AT77" s="784"/>
      <c r="AU77" s="784"/>
      <c r="AV77" s="784"/>
      <c r="AW77" s="784"/>
      <c r="AX77" s="784"/>
      <c r="AY77" s="784"/>
      <c r="AZ77" s="784"/>
      <c r="BA77" s="784"/>
      <c r="BB77" s="784"/>
      <c r="BC77" s="784"/>
      <c r="BD77" s="784"/>
      <c r="BE77" s="784"/>
      <c r="BF77" s="784"/>
      <c r="BG77" s="784"/>
      <c r="BH77" s="784"/>
      <c r="BI77" s="784"/>
      <c r="BJ77" s="784"/>
      <c r="BK77" s="784"/>
      <c r="BL77" s="784"/>
      <c r="BM77" s="784"/>
      <c r="BN77" s="784"/>
      <c r="BO77" s="784"/>
      <c r="BP77" s="784"/>
      <c r="BQ77" s="784"/>
      <c r="BR77" s="784"/>
      <c r="BS77" s="784"/>
      <c r="BT77" s="784"/>
      <c r="BU77" s="784"/>
      <c r="BV77" s="784"/>
      <c r="BW77" s="784"/>
      <c r="BX77" s="784"/>
      <c r="BY77" s="784"/>
      <c r="BZ77" s="784"/>
    </row>
    <row r="78" spans="1:78" ht="14.25">
      <c r="A78" s="784"/>
      <c r="B78" s="784"/>
      <c r="C78" s="784"/>
      <c r="D78" s="784"/>
      <c r="E78" s="784"/>
      <c r="F78" s="784"/>
      <c r="G78" s="784"/>
      <c r="H78" s="784"/>
      <c r="I78" s="784"/>
      <c r="J78" s="784"/>
      <c r="K78" s="784"/>
      <c r="L78" s="784"/>
      <c r="M78" s="784"/>
      <c r="N78" s="784"/>
      <c r="O78" s="784"/>
      <c r="P78" s="784"/>
      <c r="Q78" s="784"/>
      <c r="R78" s="784"/>
      <c r="S78" s="784"/>
      <c r="T78" s="785"/>
      <c r="U78" s="784"/>
      <c r="V78" s="784"/>
      <c r="W78" s="784"/>
      <c r="X78" s="784"/>
      <c r="Y78" s="784"/>
      <c r="Z78" s="784"/>
      <c r="AA78" s="784"/>
      <c r="AB78" s="784"/>
      <c r="AC78" s="784"/>
      <c r="AD78" s="784"/>
      <c r="AE78" s="784"/>
      <c r="AF78" s="784"/>
      <c r="AG78" s="784"/>
      <c r="AH78" s="784"/>
      <c r="AI78" s="784"/>
      <c r="AJ78" s="784"/>
      <c r="AK78" s="784"/>
      <c r="AL78" s="784"/>
      <c r="AM78" s="784"/>
      <c r="AN78" s="784"/>
      <c r="AO78" s="784"/>
      <c r="AP78" s="784"/>
      <c r="AQ78" s="784"/>
      <c r="AR78" s="784"/>
      <c r="AS78" s="784"/>
      <c r="AT78" s="784"/>
      <c r="AU78" s="784"/>
      <c r="AV78" s="784"/>
      <c r="AW78" s="784"/>
      <c r="AX78" s="784"/>
      <c r="AY78" s="784"/>
      <c r="AZ78" s="784"/>
      <c r="BA78" s="784"/>
      <c r="BB78" s="784"/>
      <c r="BC78" s="784"/>
      <c r="BD78" s="784"/>
      <c r="BE78" s="784"/>
      <c r="BF78" s="784"/>
      <c r="BG78" s="784"/>
      <c r="BH78" s="784"/>
      <c r="BI78" s="784"/>
      <c r="BJ78" s="784"/>
      <c r="BK78" s="784"/>
      <c r="BL78" s="784"/>
      <c r="BM78" s="784"/>
      <c r="BN78" s="784"/>
      <c r="BO78" s="784"/>
      <c r="BP78" s="784"/>
      <c r="BQ78" s="784"/>
      <c r="BR78" s="784"/>
      <c r="BS78" s="784"/>
      <c r="BT78" s="784"/>
      <c r="BU78" s="784"/>
      <c r="BV78" s="784"/>
      <c r="BW78" s="784"/>
      <c r="BX78" s="784"/>
      <c r="BY78" s="784"/>
      <c r="BZ78" s="784"/>
    </row>
    <row r="79" spans="1:78" ht="14.25">
      <c r="A79" s="784"/>
      <c r="B79" s="784"/>
      <c r="C79" s="784"/>
      <c r="D79" s="784"/>
      <c r="E79" s="784"/>
      <c r="F79" s="784"/>
      <c r="G79" s="784"/>
      <c r="H79" s="784"/>
      <c r="I79" s="784"/>
      <c r="J79" s="784"/>
      <c r="K79" s="784"/>
      <c r="L79" s="784"/>
      <c r="M79" s="784"/>
      <c r="N79" s="784"/>
      <c r="O79" s="784"/>
      <c r="P79" s="784"/>
      <c r="Q79" s="784"/>
      <c r="R79" s="784"/>
      <c r="S79" s="784"/>
      <c r="T79" s="785"/>
      <c r="U79" s="784"/>
      <c r="V79" s="784"/>
      <c r="W79" s="784"/>
      <c r="X79" s="784"/>
      <c r="Y79" s="784"/>
      <c r="Z79" s="784"/>
      <c r="AA79" s="784"/>
      <c r="AB79" s="784"/>
      <c r="AC79" s="784"/>
      <c r="AD79" s="784"/>
      <c r="AE79" s="784"/>
      <c r="AF79" s="784"/>
      <c r="AG79" s="784"/>
      <c r="AH79" s="784"/>
      <c r="AI79" s="784"/>
      <c r="AJ79" s="784"/>
      <c r="AK79" s="784"/>
      <c r="AL79" s="784"/>
      <c r="AM79" s="784"/>
      <c r="AN79" s="784"/>
      <c r="AO79" s="784"/>
      <c r="AP79" s="784"/>
      <c r="AQ79" s="784"/>
      <c r="AR79" s="784"/>
      <c r="AS79" s="784"/>
      <c r="AT79" s="784"/>
      <c r="AU79" s="784"/>
      <c r="AV79" s="784"/>
      <c r="AW79" s="784"/>
      <c r="AX79" s="784"/>
      <c r="AY79" s="784"/>
      <c r="AZ79" s="784"/>
      <c r="BA79" s="784"/>
      <c r="BB79" s="784"/>
      <c r="BC79" s="784"/>
      <c r="BD79" s="784"/>
      <c r="BE79" s="784"/>
      <c r="BF79" s="784"/>
      <c r="BG79" s="784"/>
      <c r="BH79" s="784"/>
      <c r="BI79" s="784"/>
      <c r="BJ79" s="784"/>
      <c r="BK79" s="784"/>
      <c r="BL79" s="784"/>
      <c r="BM79" s="784"/>
      <c r="BN79" s="784"/>
      <c r="BO79" s="784"/>
      <c r="BP79" s="784"/>
      <c r="BQ79" s="784"/>
      <c r="BR79" s="784"/>
      <c r="BS79" s="784"/>
      <c r="BT79" s="784"/>
      <c r="BU79" s="784"/>
      <c r="BV79" s="784"/>
      <c r="BW79" s="784"/>
      <c r="BX79" s="784"/>
      <c r="BY79" s="784"/>
      <c r="BZ79" s="784"/>
    </row>
    <row r="80" spans="1:78" ht="14.25">
      <c r="A80" s="784"/>
      <c r="B80" s="784"/>
      <c r="C80" s="784"/>
      <c r="D80" s="784"/>
      <c r="E80" s="784"/>
      <c r="F80" s="784"/>
      <c r="G80" s="784"/>
      <c r="H80" s="784"/>
      <c r="I80" s="784"/>
      <c r="J80" s="784"/>
      <c r="K80" s="784"/>
      <c r="L80" s="784"/>
      <c r="M80" s="784"/>
      <c r="N80" s="784"/>
      <c r="O80" s="784"/>
      <c r="P80" s="784"/>
      <c r="Q80" s="784"/>
      <c r="R80" s="784"/>
      <c r="S80" s="784"/>
      <c r="T80" s="785"/>
      <c r="U80" s="784"/>
      <c r="V80" s="784"/>
      <c r="W80" s="784"/>
      <c r="X80" s="784"/>
      <c r="Y80" s="784"/>
      <c r="Z80" s="784"/>
      <c r="AA80" s="784"/>
      <c r="AB80" s="784"/>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784"/>
      <c r="AY80" s="784"/>
      <c r="AZ80" s="784"/>
      <c r="BA80" s="784"/>
      <c r="BB80" s="784"/>
      <c r="BC80" s="784"/>
      <c r="BD80" s="784"/>
      <c r="BE80" s="784"/>
      <c r="BF80" s="784"/>
      <c r="BG80" s="784"/>
      <c r="BH80" s="784"/>
      <c r="BI80" s="784"/>
      <c r="BJ80" s="784"/>
      <c r="BK80" s="784"/>
      <c r="BL80" s="784"/>
      <c r="BM80" s="784"/>
      <c r="BN80" s="784"/>
      <c r="BO80" s="784"/>
      <c r="BP80" s="784"/>
      <c r="BQ80" s="784"/>
      <c r="BR80" s="784"/>
      <c r="BS80" s="784"/>
      <c r="BT80" s="784"/>
      <c r="BU80" s="784"/>
      <c r="BV80" s="784"/>
      <c r="BW80" s="784"/>
      <c r="BX80" s="784"/>
      <c r="BY80" s="784"/>
      <c r="BZ80" s="784"/>
    </row>
    <row r="81" spans="1:78" ht="14.25">
      <c r="A81" s="784"/>
      <c r="B81" s="784"/>
      <c r="C81" s="784"/>
      <c r="D81" s="784"/>
      <c r="E81" s="784"/>
      <c r="F81" s="784"/>
      <c r="G81" s="784"/>
      <c r="H81" s="784"/>
      <c r="I81" s="784"/>
      <c r="J81" s="784"/>
      <c r="K81" s="784"/>
      <c r="L81" s="784"/>
      <c r="M81" s="784"/>
      <c r="N81" s="784"/>
      <c r="O81" s="784"/>
      <c r="P81" s="784"/>
      <c r="Q81" s="784"/>
      <c r="R81" s="784"/>
      <c r="S81" s="784"/>
      <c r="T81" s="785"/>
      <c r="U81" s="784"/>
      <c r="V81" s="784"/>
      <c r="W81" s="784"/>
      <c r="X81" s="784"/>
      <c r="Y81" s="784"/>
      <c r="Z81" s="784"/>
      <c r="AA81" s="784"/>
      <c r="AB81" s="784"/>
      <c r="AC81" s="784"/>
      <c r="AD81" s="784"/>
      <c r="AE81" s="784"/>
      <c r="AF81" s="784"/>
      <c r="AG81" s="784"/>
      <c r="AH81" s="784"/>
      <c r="AI81" s="784"/>
      <c r="AJ81" s="784"/>
      <c r="AK81" s="784"/>
      <c r="AL81" s="784"/>
      <c r="AM81" s="784"/>
      <c r="AN81" s="784"/>
      <c r="AO81" s="784"/>
      <c r="AP81" s="784"/>
      <c r="AQ81" s="784"/>
      <c r="AR81" s="784"/>
      <c r="AS81" s="784"/>
      <c r="AT81" s="784"/>
      <c r="AU81" s="784"/>
      <c r="AV81" s="784"/>
      <c r="AW81" s="784"/>
      <c r="AX81" s="784"/>
      <c r="AY81" s="784"/>
      <c r="AZ81" s="784"/>
      <c r="BA81" s="784"/>
      <c r="BB81" s="784"/>
      <c r="BC81" s="784"/>
      <c r="BD81" s="784"/>
      <c r="BE81" s="784"/>
      <c r="BF81" s="784"/>
      <c r="BG81" s="784"/>
      <c r="BH81" s="784"/>
      <c r="BI81" s="784"/>
      <c r="BJ81" s="784"/>
      <c r="BK81" s="784"/>
      <c r="BL81" s="784"/>
      <c r="BM81" s="784"/>
      <c r="BN81" s="784"/>
      <c r="BO81" s="784"/>
      <c r="BP81" s="784"/>
      <c r="BQ81" s="784"/>
      <c r="BR81" s="784"/>
      <c r="BS81" s="784"/>
      <c r="BT81" s="784"/>
      <c r="BU81" s="784"/>
      <c r="BV81" s="784"/>
      <c r="BW81" s="784"/>
      <c r="BX81" s="784"/>
      <c r="BY81" s="784"/>
      <c r="BZ81" s="784"/>
    </row>
    <row r="82" spans="1:78" ht="14.25">
      <c r="A82" s="784"/>
      <c r="B82" s="784"/>
      <c r="C82" s="784"/>
      <c r="D82" s="784"/>
      <c r="E82" s="784"/>
      <c r="F82" s="784"/>
      <c r="G82" s="784"/>
      <c r="H82" s="784"/>
      <c r="I82" s="784"/>
      <c r="J82" s="784"/>
      <c r="K82" s="784"/>
      <c r="L82" s="784"/>
      <c r="M82" s="784"/>
      <c r="N82" s="784"/>
      <c r="O82" s="784"/>
      <c r="P82" s="784"/>
      <c r="Q82" s="784"/>
      <c r="R82" s="784"/>
      <c r="S82" s="784"/>
      <c r="T82" s="785"/>
      <c r="U82" s="784"/>
      <c r="V82" s="784"/>
      <c r="W82" s="784"/>
      <c r="X82" s="784"/>
      <c r="Y82" s="784"/>
      <c r="Z82" s="784"/>
      <c r="AA82" s="784"/>
      <c r="AB82" s="784"/>
      <c r="AC82" s="784"/>
      <c r="AD82" s="784"/>
      <c r="AE82" s="784"/>
      <c r="AF82" s="784"/>
      <c r="AG82" s="784"/>
      <c r="AH82" s="784"/>
      <c r="AI82" s="784"/>
      <c r="AJ82" s="784"/>
      <c r="AK82" s="784"/>
      <c r="AL82" s="784"/>
      <c r="AM82" s="784"/>
      <c r="AN82" s="784"/>
      <c r="AO82" s="784"/>
      <c r="AP82" s="784"/>
      <c r="AQ82" s="784"/>
      <c r="AR82" s="784"/>
      <c r="AS82" s="784"/>
      <c r="AT82" s="784"/>
      <c r="AU82" s="784"/>
      <c r="AV82" s="784"/>
      <c r="AW82" s="784"/>
      <c r="AX82" s="784"/>
      <c r="AY82" s="784"/>
      <c r="AZ82" s="784"/>
      <c r="BA82" s="784"/>
      <c r="BB82" s="784"/>
      <c r="BC82" s="784"/>
      <c r="BD82" s="784"/>
      <c r="BE82" s="784"/>
      <c r="BF82" s="784"/>
      <c r="BG82" s="784"/>
      <c r="BH82" s="784"/>
      <c r="BI82" s="784"/>
      <c r="BJ82" s="784"/>
      <c r="BK82" s="784"/>
      <c r="BL82" s="784"/>
      <c r="BM82" s="784"/>
      <c r="BN82" s="784"/>
      <c r="BO82" s="784"/>
      <c r="BP82" s="784"/>
      <c r="BQ82" s="784"/>
      <c r="BR82" s="784"/>
      <c r="BS82" s="784"/>
      <c r="BT82" s="784"/>
      <c r="BU82" s="784"/>
      <c r="BV82" s="784"/>
      <c r="BW82" s="784"/>
      <c r="BX82" s="784"/>
      <c r="BY82" s="784"/>
      <c r="BZ82" s="784"/>
    </row>
    <row r="83" spans="1:78" ht="14.25">
      <c r="A83" s="784"/>
      <c r="B83" s="784"/>
      <c r="C83" s="784"/>
      <c r="D83" s="784"/>
      <c r="E83" s="784"/>
      <c r="F83" s="784"/>
      <c r="G83" s="784"/>
      <c r="H83" s="784"/>
      <c r="I83" s="784"/>
      <c r="J83" s="784"/>
      <c r="K83" s="784"/>
      <c r="L83" s="784"/>
      <c r="M83" s="784"/>
      <c r="N83" s="784"/>
      <c r="O83" s="784"/>
      <c r="P83" s="784"/>
      <c r="Q83" s="784"/>
      <c r="R83" s="784"/>
      <c r="S83" s="784"/>
      <c r="T83" s="785"/>
      <c r="U83" s="784"/>
      <c r="V83" s="784"/>
      <c r="W83" s="784"/>
      <c r="X83" s="784"/>
      <c r="Y83" s="784"/>
      <c r="Z83" s="784"/>
      <c r="AA83" s="784"/>
      <c r="AB83" s="784"/>
      <c r="AC83" s="784"/>
      <c r="AD83" s="784"/>
      <c r="AE83" s="784"/>
      <c r="AF83" s="784"/>
      <c r="AG83" s="784"/>
      <c r="AH83" s="784"/>
      <c r="AI83" s="784"/>
      <c r="AJ83" s="784"/>
      <c r="AK83" s="784"/>
      <c r="AL83" s="784"/>
      <c r="AM83" s="784"/>
      <c r="AN83" s="784"/>
      <c r="AO83" s="784"/>
      <c r="AP83" s="784"/>
      <c r="AQ83" s="784"/>
      <c r="AR83" s="784"/>
      <c r="AS83" s="784"/>
      <c r="AT83" s="784"/>
      <c r="AU83" s="784"/>
      <c r="AV83" s="784"/>
      <c r="AW83" s="784"/>
      <c r="AX83" s="784"/>
      <c r="AY83" s="784"/>
      <c r="AZ83" s="784"/>
      <c r="BA83" s="784"/>
      <c r="BB83" s="784"/>
      <c r="BC83" s="784"/>
      <c r="BD83" s="784"/>
      <c r="BE83" s="784"/>
      <c r="BF83" s="784"/>
      <c r="BG83" s="784"/>
      <c r="BH83" s="784"/>
      <c r="BI83" s="784"/>
      <c r="BJ83" s="784"/>
      <c r="BK83" s="784"/>
      <c r="BL83" s="784"/>
      <c r="BM83" s="784"/>
      <c r="BN83" s="784"/>
      <c r="BO83" s="784"/>
      <c r="BP83" s="784"/>
      <c r="BQ83" s="784"/>
      <c r="BR83" s="784"/>
      <c r="BS83" s="784"/>
      <c r="BT83" s="784"/>
      <c r="BU83" s="784"/>
      <c r="BV83" s="784"/>
      <c r="BW83" s="784"/>
      <c r="BX83" s="784"/>
      <c r="BY83" s="784"/>
      <c r="BZ83" s="784"/>
    </row>
    <row r="84" spans="1:78" ht="14.25">
      <c r="A84" s="784"/>
      <c r="B84" s="784"/>
      <c r="C84" s="784"/>
      <c r="D84" s="784"/>
      <c r="E84" s="784"/>
      <c r="F84" s="784"/>
      <c r="G84" s="784"/>
      <c r="H84" s="784"/>
      <c r="I84" s="784"/>
      <c r="J84" s="784"/>
      <c r="K84" s="784"/>
      <c r="L84" s="784"/>
      <c r="M84" s="784"/>
      <c r="N84" s="784"/>
      <c r="O84" s="784"/>
      <c r="P84" s="784"/>
      <c r="Q84" s="784"/>
      <c r="R84" s="784"/>
      <c r="S84" s="784"/>
      <c r="T84" s="785"/>
      <c r="U84" s="784"/>
      <c r="V84" s="784"/>
      <c r="W84" s="784"/>
      <c r="X84" s="784"/>
      <c r="Y84" s="784"/>
      <c r="Z84" s="784"/>
      <c r="AA84" s="784"/>
      <c r="AB84" s="784"/>
      <c r="AC84" s="784"/>
      <c r="AD84" s="784"/>
      <c r="AE84" s="784"/>
      <c r="AF84" s="784"/>
      <c r="AG84" s="784"/>
      <c r="AH84" s="784"/>
      <c r="AI84" s="784"/>
      <c r="AJ84" s="784"/>
      <c r="AK84" s="784"/>
      <c r="AL84" s="784"/>
      <c r="AM84" s="784"/>
      <c r="AN84" s="784"/>
      <c r="AO84" s="784"/>
      <c r="AP84" s="784"/>
      <c r="AQ84" s="784"/>
      <c r="AR84" s="784"/>
      <c r="AS84" s="784"/>
      <c r="AT84" s="784"/>
      <c r="AU84" s="784"/>
      <c r="AV84" s="784"/>
      <c r="AW84" s="784"/>
      <c r="AX84" s="784"/>
      <c r="AY84" s="784"/>
      <c r="AZ84" s="784"/>
      <c r="BA84" s="784"/>
      <c r="BB84" s="784"/>
      <c r="BC84" s="784"/>
      <c r="BD84" s="784"/>
      <c r="BE84" s="784"/>
      <c r="BF84" s="784"/>
      <c r="BG84" s="784"/>
      <c r="BH84" s="784"/>
      <c r="BI84" s="784"/>
      <c r="BJ84" s="784"/>
      <c r="BK84" s="784"/>
      <c r="BL84" s="784"/>
      <c r="BM84" s="784"/>
      <c r="BN84" s="784"/>
      <c r="BO84" s="784"/>
      <c r="BP84" s="784"/>
      <c r="BQ84" s="784"/>
      <c r="BR84" s="784"/>
      <c r="BS84" s="784"/>
      <c r="BT84" s="784"/>
      <c r="BU84" s="784"/>
      <c r="BV84" s="784"/>
      <c r="BW84" s="784"/>
      <c r="BX84" s="784"/>
      <c r="BY84" s="784"/>
      <c r="BZ84" s="784"/>
    </row>
    <row r="85" spans="1:78" ht="14.25">
      <c r="A85" s="784"/>
      <c r="B85" s="784"/>
      <c r="C85" s="784"/>
      <c r="D85" s="784"/>
      <c r="E85" s="784"/>
      <c r="F85" s="784"/>
      <c r="G85" s="784"/>
      <c r="H85" s="784"/>
      <c r="I85" s="784"/>
      <c r="J85" s="784"/>
      <c r="K85" s="784"/>
      <c r="L85" s="784"/>
      <c r="M85" s="784"/>
      <c r="N85" s="784"/>
      <c r="O85" s="784"/>
      <c r="P85" s="784"/>
      <c r="Q85" s="784"/>
      <c r="R85" s="784"/>
      <c r="S85" s="784"/>
      <c r="T85" s="785"/>
      <c r="U85" s="784"/>
      <c r="V85" s="784"/>
      <c r="W85" s="784"/>
      <c r="X85" s="784"/>
      <c r="Y85" s="784"/>
      <c r="Z85" s="784"/>
      <c r="AA85" s="784"/>
      <c r="AB85" s="784"/>
      <c r="AC85" s="784"/>
      <c r="AD85" s="784"/>
      <c r="AE85" s="784"/>
      <c r="AF85" s="784"/>
      <c r="AG85" s="784"/>
      <c r="AH85" s="784"/>
      <c r="AI85" s="784"/>
      <c r="AJ85" s="784"/>
      <c r="AK85" s="784"/>
      <c r="AL85" s="784"/>
      <c r="AM85" s="784"/>
      <c r="AN85" s="784"/>
      <c r="AO85" s="784"/>
      <c r="AP85" s="784"/>
      <c r="AQ85" s="784"/>
      <c r="AR85" s="784"/>
      <c r="AS85" s="784"/>
      <c r="AT85" s="784"/>
      <c r="AU85" s="784"/>
      <c r="AV85" s="784"/>
      <c r="AW85" s="784"/>
      <c r="AX85" s="784"/>
      <c r="AY85" s="784"/>
      <c r="AZ85" s="784"/>
      <c r="BA85" s="784"/>
      <c r="BB85" s="784"/>
      <c r="BC85" s="784"/>
      <c r="BD85" s="784"/>
      <c r="BE85" s="784"/>
      <c r="BF85" s="784"/>
      <c r="BG85" s="784"/>
      <c r="BH85" s="784"/>
      <c r="BI85" s="784"/>
      <c r="BJ85" s="784"/>
      <c r="BK85" s="784"/>
      <c r="BL85" s="784"/>
      <c r="BM85" s="784"/>
      <c r="BN85" s="784"/>
      <c r="BO85" s="784"/>
      <c r="BP85" s="784"/>
      <c r="BQ85" s="784"/>
      <c r="BR85" s="784"/>
      <c r="BS85" s="784"/>
      <c r="BT85" s="784"/>
      <c r="BU85" s="784"/>
      <c r="BV85" s="784"/>
      <c r="BW85" s="784"/>
      <c r="BX85" s="784"/>
      <c r="BY85" s="784"/>
      <c r="BZ85" s="784"/>
    </row>
    <row r="86" spans="1:78" ht="14.25">
      <c r="A86" s="784"/>
      <c r="B86" s="784"/>
      <c r="C86" s="784"/>
      <c r="D86" s="784"/>
      <c r="E86" s="784"/>
      <c r="F86" s="784"/>
      <c r="G86" s="784"/>
      <c r="H86" s="784"/>
      <c r="I86" s="784"/>
      <c r="J86" s="784"/>
      <c r="K86" s="784"/>
      <c r="L86" s="784"/>
      <c r="M86" s="784"/>
      <c r="N86" s="784"/>
      <c r="O86" s="784"/>
      <c r="P86" s="784"/>
      <c r="Q86" s="784"/>
      <c r="R86" s="784"/>
      <c r="S86" s="784"/>
      <c r="T86" s="785"/>
      <c r="U86" s="784"/>
      <c r="V86" s="784"/>
      <c r="W86" s="784"/>
      <c r="X86" s="784"/>
      <c r="Y86" s="784"/>
      <c r="Z86" s="784"/>
      <c r="AA86" s="784"/>
      <c r="AB86" s="784"/>
      <c r="AC86" s="784"/>
      <c r="AD86" s="784"/>
      <c r="AE86" s="784"/>
      <c r="AF86" s="784"/>
      <c r="AG86" s="784"/>
      <c r="AH86" s="784"/>
      <c r="AI86" s="784"/>
      <c r="AJ86" s="784"/>
      <c r="AK86" s="784"/>
      <c r="AL86" s="784"/>
      <c r="AM86" s="784"/>
      <c r="AN86" s="784"/>
      <c r="AO86" s="784"/>
      <c r="AP86" s="784"/>
      <c r="AQ86" s="784"/>
      <c r="AR86" s="784"/>
      <c r="AS86" s="784"/>
      <c r="AT86" s="784"/>
      <c r="AU86" s="784"/>
      <c r="AV86" s="784"/>
      <c r="AW86" s="784"/>
      <c r="AX86" s="784"/>
      <c r="AY86" s="784"/>
      <c r="AZ86" s="784"/>
      <c r="BA86" s="784"/>
      <c r="BB86" s="784"/>
      <c r="BC86" s="784"/>
      <c r="BD86" s="784"/>
      <c r="BE86" s="784"/>
      <c r="BF86" s="784"/>
      <c r="BG86" s="784"/>
      <c r="BH86" s="784"/>
      <c r="BI86" s="784"/>
      <c r="BJ86" s="784"/>
      <c r="BK86" s="784"/>
      <c r="BL86" s="784"/>
      <c r="BM86" s="784"/>
      <c r="BN86" s="784"/>
      <c r="BO86" s="784"/>
      <c r="BP86" s="784"/>
      <c r="BQ86" s="784"/>
      <c r="BR86" s="784"/>
      <c r="BS86" s="784"/>
      <c r="BT86" s="784"/>
      <c r="BU86" s="784"/>
      <c r="BV86" s="784"/>
      <c r="BW86" s="784"/>
      <c r="BX86" s="784"/>
      <c r="BY86" s="784"/>
      <c r="BZ86" s="784"/>
    </row>
    <row r="87" spans="1:78" ht="14.25">
      <c r="A87" s="784"/>
      <c r="B87" s="784"/>
      <c r="C87" s="784"/>
      <c r="D87" s="784"/>
      <c r="E87" s="784"/>
      <c r="F87" s="784"/>
      <c r="G87" s="784"/>
      <c r="H87" s="784"/>
      <c r="I87" s="784"/>
      <c r="J87" s="784"/>
      <c r="K87" s="784"/>
      <c r="L87" s="784"/>
      <c r="M87" s="784"/>
      <c r="N87" s="784"/>
      <c r="O87" s="784"/>
      <c r="P87" s="784"/>
      <c r="Q87" s="784"/>
      <c r="R87" s="784"/>
      <c r="S87" s="784"/>
      <c r="T87" s="785"/>
      <c r="U87" s="784"/>
      <c r="V87" s="784"/>
      <c r="W87" s="784"/>
      <c r="X87" s="784"/>
      <c r="Y87" s="784"/>
      <c r="Z87" s="784"/>
      <c r="AA87" s="784"/>
      <c r="AB87" s="784"/>
      <c r="AC87" s="784"/>
      <c r="AD87" s="784"/>
      <c r="AE87" s="784"/>
      <c r="AF87" s="784"/>
      <c r="AG87" s="784"/>
      <c r="AH87" s="784"/>
      <c r="AI87" s="784"/>
      <c r="AJ87" s="784"/>
      <c r="AK87" s="784"/>
      <c r="AL87" s="784"/>
      <c r="AM87" s="784"/>
      <c r="AN87" s="784"/>
      <c r="AO87" s="784"/>
      <c r="AP87" s="784"/>
      <c r="AQ87" s="784"/>
      <c r="AR87" s="784"/>
      <c r="AS87" s="784"/>
      <c r="AT87" s="784"/>
      <c r="AU87" s="784"/>
      <c r="AV87" s="784"/>
      <c r="AW87" s="784"/>
      <c r="AX87" s="784"/>
      <c r="AY87" s="784"/>
      <c r="AZ87" s="784"/>
      <c r="BA87" s="784"/>
      <c r="BB87" s="784"/>
      <c r="BC87" s="784"/>
      <c r="BD87" s="784"/>
      <c r="BE87" s="784"/>
      <c r="BF87" s="784"/>
      <c r="BG87" s="784"/>
      <c r="BH87" s="784"/>
      <c r="BI87" s="784"/>
      <c r="BJ87" s="784"/>
      <c r="BK87" s="784"/>
      <c r="BL87" s="784"/>
      <c r="BM87" s="784"/>
      <c r="BN87" s="784"/>
      <c r="BO87" s="784"/>
      <c r="BP87" s="784"/>
      <c r="BQ87" s="784"/>
      <c r="BR87" s="784"/>
      <c r="BS87" s="784"/>
      <c r="BT87" s="784"/>
      <c r="BU87" s="784"/>
      <c r="BV87" s="784"/>
      <c r="BW87" s="784"/>
      <c r="BX87" s="784"/>
      <c r="BY87" s="784"/>
      <c r="BZ87" s="784"/>
    </row>
    <row r="88" spans="1:78" ht="14.25">
      <c r="A88" s="784"/>
      <c r="B88" s="784"/>
      <c r="C88" s="784"/>
      <c r="D88" s="784"/>
      <c r="E88" s="784"/>
      <c r="F88" s="784"/>
      <c r="G88" s="784"/>
      <c r="H88" s="784"/>
      <c r="I88" s="784"/>
      <c r="J88" s="784"/>
      <c r="K88" s="784"/>
      <c r="L88" s="784"/>
      <c r="M88" s="784"/>
      <c r="N88" s="784"/>
      <c r="O88" s="784"/>
      <c r="P88" s="784"/>
      <c r="Q88" s="784"/>
      <c r="R88" s="784"/>
      <c r="S88" s="784"/>
      <c r="T88" s="785"/>
      <c r="U88" s="784"/>
      <c r="V88" s="784"/>
      <c r="W88" s="784"/>
      <c r="X88" s="784"/>
      <c r="Y88" s="784"/>
      <c r="Z88" s="784"/>
      <c r="AA88" s="784"/>
      <c r="AB88" s="784"/>
      <c r="AC88" s="784"/>
      <c r="AD88" s="784"/>
      <c r="AE88" s="784"/>
      <c r="AF88" s="784"/>
      <c r="AG88" s="784"/>
      <c r="AH88" s="784"/>
      <c r="AI88" s="784"/>
      <c r="AJ88" s="784"/>
      <c r="AK88" s="784"/>
      <c r="AL88" s="784"/>
      <c r="AM88" s="784"/>
      <c r="AN88" s="784"/>
      <c r="AO88" s="784"/>
      <c r="AP88" s="784"/>
      <c r="AQ88" s="784"/>
      <c r="AR88" s="784"/>
      <c r="AS88" s="784"/>
      <c r="AT88" s="784"/>
      <c r="AU88" s="784"/>
      <c r="AV88" s="784"/>
      <c r="AW88" s="784"/>
      <c r="AX88" s="784"/>
      <c r="AY88" s="784"/>
      <c r="AZ88" s="784"/>
      <c r="BA88" s="784"/>
      <c r="BB88" s="784"/>
      <c r="BC88" s="784"/>
      <c r="BD88" s="784"/>
      <c r="BE88" s="784"/>
      <c r="BF88" s="784"/>
      <c r="BG88" s="784"/>
      <c r="BH88" s="784"/>
      <c r="BI88" s="784"/>
      <c r="BJ88" s="784"/>
      <c r="BK88" s="784"/>
      <c r="BL88" s="784"/>
      <c r="BM88" s="784"/>
      <c r="BN88" s="784"/>
      <c r="BO88" s="784"/>
      <c r="BP88" s="784"/>
      <c r="BQ88" s="784"/>
      <c r="BR88" s="784"/>
      <c r="BS88" s="784"/>
      <c r="BT88" s="784"/>
      <c r="BU88" s="784"/>
      <c r="BV88" s="784"/>
      <c r="BW88" s="784"/>
      <c r="BX88" s="784"/>
      <c r="BY88" s="784"/>
      <c r="BZ88" s="784"/>
    </row>
    <row r="89" spans="1:78" ht="14.25">
      <c r="A89" s="784"/>
      <c r="B89" s="784"/>
      <c r="C89" s="784"/>
      <c r="D89" s="784"/>
      <c r="E89" s="784"/>
      <c r="F89" s="784"/>
      <c r="G89" s="784"/>
      <c r="H89" s="784"/>
      <c r="I89" s="784"/>
      <c r="J89" s="784"/>
      <c r="K89" s="784"/>
      <c r="L89" s="784"/>
      <c r="M89" s="784"/>
      <c r="N89" s="784"/>
      <c r="O89" s="784"/>
      <c r="P89" s="784"/>
      <c r="Q89" s="784"/>
      <c r="R89" s="784"/>
      <c r="S89" s="784"/>
      <c r="T89" s="785"/>
      <c r="U89" s="784"/>
      <c r="V89" s="784"/>
      <c r="W89" s="784"/>
      <c r="X89" s="784"/>
      <c r="Y89" s="784"/>
      <c r="Z89" s="784"/>
      <c r="AA89" s="784"/>
      <c r="AB89" s="784"/>
      <c r="AC89" s="784"/>
      <c r="AD89" s="784"/>
      <c r="AE89" s="784"/>
      <c r="AF89" s="784"/>
      <c r="AG89" s="784"/>
      <c r="AH89" s="784"/>
      <c r="AI89" s="784"/>
      <c r="AJ89" s="784"/>
      <c r="AK89" s="784"/>
      <c r="AL89" s="784"/>
      <c r="AM89" s="784"/>
      <c r="AN89" s="784"/>
      <c r="AO89" s="784"/>
      <c r="AP89" s="784"/>
      <c r="AQ89" s="784"/>
      <c r="AR89" s="784"/>
      <c r="AS89" s="784"/>
      <c r="AT89" s="784"/>
      <c r="AU89" s="784"/>
      <c r="AV89" s="784"/>
      <c r="AW89" s="784"/>
      <c r="AX89" s="784"/>
      <c r="AY89" s="784"/>
      <c r="AZ89" s="784"/>
      <c r="BA89" s="784"/>
      <c r="BB89" s="784"/>
      <c r="BC89" s="784"/>
      <c r="BD89" s="784"/>
      <c r="BE89" s="784"/>
      <c r="BF89" s="784"/>
      <c r="BG89" s="784"/>
      <c r="BH89" s="784"/>
      <c r="BI89" s="784"/>
      <c r="BJ89" s="784"/>
      <c r="BK89" s="784"/>
      <c r="BL89" s="784"/>
      <c r="BM89" s="784"/>
      <c r="BN89" s="784"/>
      <c r="BO89" s="784"/>
      <c r="BP89" s="784"/>
      <c r="BQ89" s="784"/>
      <c r="BR89" s="784"/>
      <c r="BS89" s="784"/>
      <c r="BT89" s="784"/>
      <c r="BU89" s="784"/>
      <c r="BV89" s="784"/>
      <c r="BW89" s="784"/>
      <c r="BX89" s="784"/>
      <c r="BY89" s="784"/>
      <c r="BZ89" s="784"/>
    </row>
    <row r="90" spans="1:78" ht="14.25">
      <c r="A90" s="784"/>
      <c r="B90" s="784"/>
      <c r="C90" s="784"/>
      <c r="D90" s="784"/>
      <c r="E90" s="784"/>
      <c r="F90" s="784"/>
      <c r="G90" s="784"/>
      <c r="H90" s="784"/>
      <c r="I90" s="784"/>
      <c r="J90" s="784"/>
      <c r="K90" s="784"/>
      <c r="L90" s="784"/>
      <c r="M90" s="784"/>
      <c r="N90" s="784"/>
      <c r="O90" s="784"/>
      <c r="P90" s="784"/>
      <c r="Q90" s="784"/>
      <c r="R90" s="784"/>
      <c r="S90" s="784"/>
      <c r="T90" s="785"/>
      <c r="U90" s="784"/>
      <c r="V90" s="784"/>
      <c r="W90" s="784"/>
      <c r="X90" s="784"/>
      <c r="Y90" s="784"/>
      <c r="Z90" s="784"/>
      <c r="AA90" s="784"/>
      <c r="AB90" s="784"/>
      <c r="AC90" s="784"/>
      <c r="AD90" s="784"/>
      <c r="AE90" s="784"/>
      <c r="AF90" s="784"/>
      <c r="AG90" s="784"/>
      <c r="AH90" s="784"/>
      <c r="AI90" s="784"/>
      <c r="AJ90" s="784"/>
      <c r="AK90" s="784"/>
      <c r="AL90" s="784"/>
      <c r="AM90" s="784"/>
      <c r="AN90" s="784"/>
      <c r="AO90" s="784"/>
      <c r="AP90" s="784"/>
      <c r="AQ90" s="784"/>
      <c r="AR90" s="784"/>
      <c r="AS90" s="784"/>
      <c r="AT90" s="784"/>
      <c r="AU90" s="784"/>
      <c r="AV90" s="784"/>
      <c r="AW90" s="784"/>
      <c r="AX90" s="784"/>
      <c r="AY90" s="784"/>
      <c r="AZ90" s="784"/>
      <c r="BA90" s="784"/>
      <c r="BB90" s="784"/>
      <c r="BC90" s="784"/>
      <c r="BD90" s="784"/>
      <c r="BE90" s="784"/>
      <c r="BF90" s="784"/>
      <c r="BG90" s="784"/>
      <c r="BH90" s="784"/>
      <c r="BI90" s="784"/>
      <c r="BJ90" s="784"/>
      <c r="BK90" s="784"/>
      <c r="BL90" s="784"/>
      <c r="BM90" s="784"/>
      <c r="BN90" s="784"/>
      <c r="BO90" s="784"/>
      <c r="BP90" s="784"/>
      <c r="BQ90" s="784"/>
      <c r="BR90" s="784"/>
      <c r="BS90" s="784"/>
      <c r="BT90" s="784"/>
      <c r="BU90" s="784"/>
      <c r="BV90" s="784"/>
      <c r="BW90" s="784"/>
      <c r="BX90" s="784"/>
      <c r="BY90" s="784"/>
      <c r="BZ90" s="784"/>
    </row>
    <row r="91" spans="1:78" ht="14.25">
      <c r="A91" s="784"/>
      <c r="B91" s="784"/>
      <c r="C91" s="784"/>
      <c r="D91" s="784"/>
      <c r="E91" s="784"/>
      <c r="F91" s="784"/>
      <c r="G91" s="784"/>
      <c r="H91" s="784"/>
      <c r="I91" s="784"/>
      <c r="J91" s="784"/>
      <c r="K91" s="784"/>
      <c r="L91" s="784"/>
      <c r="M91" s="784"/>
      <c r="N91" s="784"/>
      <c r="O91" s="784"/>
      <c r="P91" s="784"/>
      <c r="Q91" s="784"/>
      <c r="R91" s="784"/>
      <c r="S91" s="784"/>
      <c r="T91" s="785"/>
      <c r="U91" s="784"/>
      <c r="V91" s="784"/>
      <c r="W91" s="784"/>
      <c r="X91" s="784"/>
      <c r="Y91" s="784"/>
      <c r="Z91" s="784"/>
      <c r="AA91" s="784"/>
      <c r="AB91" s="784"/>
      <c r="AC91" s="784"/>
      <c r="AD91" s="784"/>
      <c r="AE91" s="784"/>
      <c r="AF91" s="784"/>
      <c r="AG91" s="784"/>
      <c r="AH91" s="784"/>
      <c r="AI91" s="784"/>
      <c r="AJ91" s="784"/>
      <c r="AK91" s="784"/>
      <c r="AL91" s="784"/>
      <c r="AM91" s="784"/>
      <c r="AN91" s="784"/>
      <c r="AO91" s="784"/>
      <c r="AP91" s="784"/>
      <c r="AQ91" s="784"/>
      <c r="AR91" s="784"/>
      <c r="AS91" s="784"/>
      <c r="AT91" s="784"/>
      <c r="AU91" s="784"/>
      <c r="AV91" s="784"/>
      <c r="AW91" s="784"/>
      <c r="AX91" s="784"/>
      <c r="AY91" s="784"/>
      <c r="AZ91" s="784"/>
      <c r="BA91" s="784"/>
      <c r="BB91" s="784"/>
      <c r="BC91" s="784"/>
      <c r="BD91" s="784"/>
      <c r="BE91" s="784"/>
      <c r="BF91" s="784"/>
      <c r="BG91" s="784"/>
      <c r="BH91" s="784"/>
      <c r="BI91" s="784"/>
      <c r="BJ91" s="784"/>
      <c r="BK91" s="784"/>
      <c r="BL91" s="784"/>
      <c r="BM91" s="784"/>
      <c r="BN91" s="784"/>
      <c r="BO91" s="784"/>
      <c r="BP91" s="784"/>
      <c r="BQ91" s="784"/>
      <c r="BR91" s="784"/>
      <c r="BS91" s="784"/>
      <c r="BT91" s="784"/>
      <c r="BU91" s="784"/>
      <c r="BV91" s="784"/>
      <c r="BW91" s="784"/>
      <c r="BX91" s="784"/>
      <c r="BY91" s="784"/>
      <c r="BZ91" s="784"/>
    </row>
    <row r="92" spans="1:78" ht="14.25">
      <c r="A92" s="784"/>
      <c r="B92" s="784"/>
      <c r="C92" s="784"/>
      <c r="D92" s="784"/>
      <c r="E92" s="784"/>
      <c r="F92" s="784"/>
      <c r="G92" s="784"/>
      <c r="H92" s="784"/>
      <c r="I92" s="784"/>
      <c r="J92" s="784"/>
      <c r="K92" s="784"/>
      <c r="L92" s="784"/>
      <c r="M92" s="784"/>
      <c r="N92" s="784"/>
      <c r="O92" s="784"/>
      <c r="P92" s="784"/>
      <c r="Q92" s="784"/>
      <c r="R92" s="784"/>
      <c r="S92" s="784"/>
      <c r="T92" s="785"/>
      <c r="U92" s="784"/>
      <c r="V92" s="784"/>
      <c r="W92" s="784"/>
      <c r="X92" s="784"/>
      <c r="Y92" s="784"/>
      <c r="Z92" s="784"/>
      <c r="AA92" s="784"/>
      <c r="AB92" s="784"/>
      <c r="AC92" s="784"/>
      <c r="AD92" s="784"/>
      <c r="AE92" s="784"/>
      <c r="AF92" s="784"/>
      <c r="AG92" s="784"/>
      <c r="AH92" s="784"/>
      <c r="AI92" s="784"/>
      <c r="AJ92" s="784"/>
      <c r="AK92" s="784"/>
      <c r="AL92" s="784"/>
      <c r="AM92" s="784"/>
      <c r="AN92" s="784"/>
      <c r="AO92" s="784"/>
      <c r="AP92" s="784"/>
      <c r="AQ92" s="784"/>
      <c r="AR92" s="784"/>
      <c r="AS92" s="784"/>
      <c r="AT92" s="784"/>
      <c r="AU92" s="784"/>
      <c r="AV92" s="784"/>
      <c r="AW92" s="784"/>
      <c r="AX92" s="784"/>
      <c r="AY92" s="784"/>
      <c r="AZ92" s="784"/>
      <c r="BA92" s="784"/>
      <c r="BB92" s="784"/>
      <c r="BC92" s="784"/>
      <c r="BD92" s="784"/>
      <c r="BE92" s="784"/>
      <c r="BF92" s="784"/>
      <c r="BG92" s="784"/>
      <c r="BH92" s="784"/>
      <c r="BI92" s="784"/>
      <c r="BJ92" s="784"/>
      <c r="BK92" s="784"/>
      <c r="BL92" s="784"/>
      <c r="BM92" s="784"/>
      <c r="BN92" s="784"/>
      <c r="BO92" s="784"/>
      <c r="BP92" s="784"/>
      <c r="BQ92" s="784"/>
      <c r="BR92" s="784"/>
      <c r="BS92" s="784"/>
      <c r="BT92" s="784"/>
      <c r="BU92" s="784"/>
      <c r="BV92" s="784"/>
      <c r="BW92" s="784"/>
      <c r="BX92" s="784"/>
      <c r="BY92" s="784"/>
      <c r="BZ92" s="784"/>
    </row>
    <row r="93" spans="1:78" ht="14.25">
      <c r="A93" s="784"/>
      <c r="B93" s="784"/>
      <c r="C93" s="784"/>
      <c r="D93" s="784"/>
      <c r="E93" s="784"/>
      <c r="F93" s="784"/>
      <c r="G93" s="784"/>
      <c r="H93" s="784"/>
      <c r="I93" s="784"/>
      <c r="J93" s="784"/>
      <c r="K93" s="784"/>
      <c r="L93" s="784"/>
      <c r="M93" s="784"/>
      <c r="N93" s="784"/>
      <c r="O93" s="784"/>
      <c r="P93" s="784"/>
      <c r="Q93" s="784"/>
      <c r="R93" s="784"/>
      <c r="S93" s="784"/>
      <c r="T93" s="785"/>
      <c r="U93" s="784"/>
      <c r="V93" s="784"/>
      <c r="W93" s="784"/>
      <c r="X93" s="784"/>
      <c r="Y93" s="784"/>
      <c r="Z93" s="784"/>
      <c r="AA93" s="784"/>
      <c r="AB93" s="784"/>
      <c r="AC93" s="784"/>
      <c r="AD93" s="784"/>
      <c r="AE93" s="784"/>
      <c r="AF93" s="784"/>
      <c r="AG93" s="784"/>
      <c r="AH93" s="784"/>
      <c r="AI93" s="784"/>
      <c r="AJ93" s="784"/>
      <c r="AK93" s="784"/>
      <c r="AL93" s="784"/>
      <c r="AM93" s="784"/>
      <c r="AN93" s="784"/>
      <c r="AO93" s="784"/>
      <c r="AP93" s="784"/>
      <c r="AQ93" s="784"/>
      <c r="AR93" s="784"/>
      <c r="AS93" s="784"/>
      <c r="AT93" s="784"/>
      <c r="AU93" s="784"/>
      <c r="AV93" s="784"/>
      <c r="AW93" s="784"/>
      <c r="AX93" s="784"/>
      <c r="AY93" s="784"/>
      <c r="AZ93" s="784"/>
      <c r="BA93" s="784"/>
      <c r="BB93" s="784"/>
      <c r="BC93" s="784"/>
      <c r="BD93" s="784"/>
      <c r="BE93" s="784"/>
      <c r="BF93" s="784"/>
      <c r="BG93" s="784"/>
      <c r="BH93" s="784"/>
      <c r="BI93" s="784"/>
      <c r="BJ93" s="784"/>
      <c r="BK93" s="784"/>
      <c r="BL93" s="784"/>
      <c r="BM93" s="784"/>
      <c r="BN93" s="784"/>
      <c r="BO93" s="784"/>
      <c r="BP93" s="784"/>
      <c r="BQ93" s="784"/>
      <c r="BR93" s="784"/>
      <c r="BS93" s="784"/>
      <c r="BT93" s="784"/>
      <c r="BU93" s="784"/>
      <c r="BV93" s="784"/>
      <c r="BW93" s="784"/>
      <c r="BX93" s="784"/>
      <c r="BY93" s="784"/>
      <c r="BZ93" s="784"/>
    </row>
    <row r="94" spans="1:78" ht="14.25">
      <c r="A94" s="784"/>
      <c r="B94" s="784"/>
      <c r="C94" s="784"/>
      <c r="D94" s="784"/>
      <c r="E94" s="784"/>
      <c r="F94" s="784"/>
      <c r="G94" s="784"/>
      <c r="H94" s="784"/>
      <c r="I94" s="784"/>
      <c r="J94" s="784"/>
      <c r="K94" s="784"/>
      <c r="L94" s="784"/>
      <c r="M94" s="784"/>
      <c r="N94" s="784"/>
      <c r="O94" s="784"/>
      <c r="P94" s="784"/>
      <c r="Q94" s="784"/>
      <c r="R94" s="784"/>
      <c r="S94" s="784"/>
      <c r="T94" s="785"/>
      <c r="U94" s="784"/>
      <c r="V94" s="784"/>
      <c r="W94" s="784"/>
      <c r="X94" s="784"/>
      <c r="Y94" s="784"/>
      <c r="Z94" s="784"/>
      <c r="AA94" s="784"/>
      <c r="AB94" s="784"/>
      <c r="AC94" s="784"/>
      <c r="AD94" s="784"/>
      <c r="AE94" s="784"/>
      <c r="AF94" s="784"/>
      <c r="AG94" s="784"/>
      <c r="AH94" s="784"/>
      <c r="AI94" s="784"/>
      <c r="AJ94" s="784"/>
      <c r="AK94" s="784"/>
      <c r="AL94" s="784"/>
      <c r="AM94" s="784"/>
      <c r="AN94" s="784"/>
      <c r="AO94" s="784"/>
      <c r="AP94" s="784"/>
      <c r="AQ94" s="784"/>
      <c r="AR94" s="784"/>
      <c r="AS94" s="784"/>
      <c r="AT94" s="784"/>
      <c r="AU94" s="784"/>
      <c r="AV94" s="784"/>
      <c r="AW94" s="784"/>
      <c r="AX94" s="784"/>
      <c r="AY94" s="784"/>
      <c r="AZ94" s="784"/>
      <c r="BA94" s="784"/>
      <c r="BB94" s="784"/>
      <c r="BC94" s="784"/>
      <c r="BD94" s="784"/>
      <c r="BE94" s="784"/>
      <c r="BF94" s="784"/>
      <c r="BG94" s="784"/>
      <c r="BH94" s="784"/>
      <c r="BI94" s="784"/>
      <c r="BJ94" s="784"/>
      <c r="BK94" s="784"/>
      <c r="BL94" s="784"/>
      <c r="BM94" s="784"/>
      <c r="BN94" s="784"/>
      <c r="BO94" s="784"/>
      <c r="BP94" s="784"/>
      <c r="BQ94" s="784"/>
      <c r="BR94" s="784"/>
      <c r="BS94" s="784"/>
      <c r="BT94" s="784"/>
      <c r="BU94" s="784"/>
      <c r="BV94" s="784"/>
      <c r="BW94" s="784"/>
      <c r="BX94" s="784"/>
      <c r="BY94" s="784"/>
      <c r="BZ94" s="784"/>
    </row>
    <row r="95" spans="1:78" ht="14.25">
      <c r="A95" s="784"/>
      <c r="B95" s="784"/>
      <c r="C95" s="784"/>
      <c r="D95" s="784"/>
      <c r="E95" s="784"/>
      <c r="F95" s="784"/>
      <c r="G95" s="784"/>
      <c r="H95" s="784"/>
      <c r="I95" s="784"/>
      <c r="J95" s="784"/>
      <c r="K95" s="784"/>
      <c r="L95" s="784"/>
      <c r="M95" s="784"/>
      <c r="N95" s="784"/>
      <c r="O95" s="784"/>
      <c r="P95" s="784"/>
      <c r="Q95" s="784"/>
      <c r="R95" s="784"/>
      <c r="S95" s="784"/>
      <c r="T95" s="785"/>
      <c r="U95" s="784"/>
      <c r="V95" s="784"/>
      <c r="W95" s="784"/>
      <c r="X95" s="784"/>
      <c r="Y95" s="784"/>
      <c r="Z95" s="784"/>
      <c r="AA95" s="784"/>
      <c r="AB95" s="784"/>
      <c r="AC95" s="784"/>
      <c r="AD95" s="784"/>
      <c r="AE95" s="784"/>
      <c r="AF95" s="784"/>
      <c r="AG95" s="784"/>
      <c r="AH95" s="784"/>
      <c r="AI95" s="784"/>
      <c r="AJ95" s="784"/>
      <c r="AK95" s="784"/>
      <c r="AL95" s="784"/>
      <c r="AM95" s="784"/>
      <c r="AN95" s="784"/>
      <c r="AO95" s="784"/>
      <c r="AP95" s="784"/>
      <c r="AQ95" s="784"/>
      <c r="AR95" s="784"/>
      <c r="AS95" s="784"/>
      <c r="AT95" s="784"/>
      <c r="AU95" s="784"/>
      <c r="AV95" s="784"/>
      <c r="AW95" s="784"/>
      <c r="AX95" s="784"/>
      <c r="AY95" s="784"/>
      <c r="AZ95" s="784"/>
      <c r="BA95" s="784"/>
      <c r="BB95" s="784"/>
      <c r="BC95" s="784"/>
      <c r="BD95" s="784"/>
      <c r="BE95" s="784"/>
      <c r="BF95" s="784"/>
      <c r="BG95" s="784"/>
      <c r="BH95" s="784"/>
      <c r="BI95" s="784"/>
      <c r="BJ95" s="784"/>
      <c r="BK95" s="784"/>
      <c r="BL95" s="784"/>
      <c r="BM95" s="784"/>
      <c r="BN95" s="784"/>
      <c r="BO95" s="784"/>
      <c r="BP95" s="784"/>
      <c r="BQ95" s="784"/>
      <c r="BR95" s="784"/>
      <c r="BS95" s="784"/>
      <c r="BT95" s="784"/>
      <c r="BU95" s="784"/>
      <c r="BV95" s="784"/>
      <c r="BW95" s="784"/>
      <c r="BX95" s="784"/>
      <c r="BY95" s="784"/>
      <c r="BZ95" s="784"/>
    </row>
    <row r="96" spans="1:78" ht="14.25">
      <c r="A96" s="784"/>
      <c r="B96" s="784"/>
      <c r="C96" s="784"/>
      <c r="D96" s="784"/>
      <c r="E96" s="784"/>
      <c r="F96" s="784"/>
      <c r="G96" s="784"/>
      <c r="H96" s="784"/>
      <c r="I96" s="784"/>
      <c r="J96" s="784"/>
      <c r="K96" s="784"/>
      <c r="L96" s="784"/>
      <c r="M96" s="784"/>
      <c r="N96" s="784"/>
      <c r="O96" s="784"/>
      <c r="P96" s="784"/>
      <c r="Q96" s="784"/>
      <c r="R96" s="784"/>
      <c r="S96" s="784"/>
      <c r="T96" s="785"/>
      <c r="U96" s="784"/>
      <c r="V96" s="784"/>
      <c r="W96" s="784"/>
      <c r="X96" s="784"/>
      <c r="Y96" s="784"/>
      <c r="Z96" s="784"/>
      <c r="AA96" s="784"/>
      <c r="AB96" s="784"/>
      <c r="AC96" s="784"/>
      <c r="AD96" s="784"/>
      <c r="AE96" s="784"/>
      <c r="AF96" s="784"/>
      <c r="AG96" s="784"/>
      <c r="AH96" s="784"/>
      <c r="AI96" s="784"/>
      <c r="AJ96" s="784"/>
      <c r="AK96" s="784"/>
      <c r="AL96" s="784"/>
      <c r="AM96" s="784"/>
      <c r="AN96" s="784"/>
      <c r="AO96" s="784"/>
      <c r="AP96" s="784"/>
      <c r="AQ96" s="784"/>
      <c r="AR96" s="784"/>
      <c r="AS96" s="784"/>
      <c r="AT96" s="784"/>
      <c r="AU96" s="784"/>
      <c r="AV96" s="784"/>
      <c r="AW96" s="784"/>
      <c r="AX96" s="784"/>
      <c r="AY96" s="784"/>
      <c r="AZ96" s="784"/>
      <c r="BA96" s="784"/>
      <c r="BB96" s="784"/>
      <c r="BC96" s="784"/>
      <c r="BD96" s="784"/>
      <c r="BE96" s="784"/>
      <c r="BF96" s="784"/>
      <c r="BG96" s="784"/>
      <c r="BH96" s="784"/>
      <c r="BI96" s="784"/>
      <c r="BJ96" s="784"/>
      <c r="BK96" s="784"/>
      <c r="BL96" s="784"/>
      <c r="BM96" s="784"/>
      <c r="BN96" s="784"/>
      <c r="BO96" s="784"/>
      <c r="BP96" s="784"/>
      <c r="BQ96" s="784"/>
      <c r="BR96" s="784"/>
      <c r="BS96" s="784"/>
      <c r="BT96" s="784"/>
      <c r="BU96" s="784"/>
      <c r="BV96" s="784"/>
      <c r="BW96" s="784"/>
      <c r="BX96" s="784"/>
      <c r="BY96" s="784"/>
      <c r="BZ96" s="784"/>
    </row>
    <row r="97" spans="1:78" ht="14.25">
      <c r="A97" s="784"/>
      <c r="B97" s="784"/>
      <c r="C97" s="784"/>
      <c r="D97" s="784"/>
      <c r="E97" s="784"/>
      <c r="F97" s="784"/>
      <c r="G97" s="784"/>
      <c r="H97" s="784"/>
      <c r="I97" s="784"/>
      <c r="J97" s="784"/>
      <c r="K97" s="784"/>
      <c r="L97" s="784"/>
      <c r="M97" s="784"/>
      <c r="N97" s="784"/>
      <c r="O97" s="784"/>
      <c r="P97" s="784"/>
      <c r="Q97" s="784"/>
      <c r="R97" s="784"/>
      <c r="S97" s="784"/>
      <c r="T97" s="785"/>
      <c r="U97" s="784"/>
      <c r="V97" s="784"/>
      <c r="W97" s="784"/>
      <c r="X97" s="784"/>
      <c r="Y97" s="784"/>
      <c r="Z97" s="784"/>
      <c r="AA97" s="784"/>
      <c r="AB97" s="784"/>
      <c r="AC97" s="784"/>
      <c r="AD97" s="784"/>
      <c r="AE97" s="784"/>
      <c r="AF97" s="784"/>
      <c r="AG97" s="784"/>
      <c r="AH97" s="784"/>
      <c r="AI97" s="784"/>
      <c r="AJ97" s="784"/>
      <c r="AK97" s="784"/>
      <c r="AL97" s="784"/>
      <c r="AM97" s="784"/>
      <c r="AN97" s="784"/>
      <c r="AO97" s="784"/>
      <c r="AP97" s="784"/>
      <c r="AQ97" s="784"/>
      <c r="AR97" s="784"/>
      <c r="AS97" s="784"/>
      <c r="AT97" s="784"/>
      <c r="AU97" s="784"/>
      <c r="AV97" s="784"/>
      <c r="AW97" s="784"/>
      <c r="AX97" s="784"/>
      <c r="AY97" s="784"/>
      <c r="AZ97" s="784"/>
      <c r="BA97" s="784"/>
      <c r="BB97" s="784"/>
      <c r="BC97" s="784"/>
      <c r="BD97" s="784"/>
      <c r="BE97" s="784"/>
      <c r="BF97" s="784"/>
      <c r="BG97" s="784"/>
      <c r="BH97" s="784"/>
      <c r="BI97" s="784"/>
      <c r="BJ97" s="784"/>
      <c r="BK97" s="784"/>
      <c r="BL97" s="784"/>
      <c r="BM97" s="784"/>
      <c r="BN97" s="784"/>
      <c r="BO97" s="784"/>
      <c r="BP97" s="784"/>
      <c r="BQ97" s="784"/>
      <c r="BR97" s="784"/>
      <c r="BS97" s="784"/>
      <c r="BT97" s="784"/>
      <c r="BU97" s="784"/>
      <c r="BV97" s="784"/>
      <c r="BW97" s="784"/>
      <c r="BX97" s="784"/>
      <c r="BY97" s="784"/>
      <c r="BZ97" s="784"/>
    </row>
    <row r="98" spans="1:78" ht="14.25">
      <c r="A98" s="784"/>
      <c r="B98" s="784"/>
      <c r="C98" s="784"/>
      <c r="D98" s="784"/>
      <c r="E98" s="784"/>
      <c r="F98" s="784"/>
      <c r="G98" s="784"/>
      <c r="H98" s="784"/>
      <c r="I98" s="784"/>
      <c r="J98" s="784"/>
      <c r="K98" s="784"/>
      <c r="L98" s="784"/>
      <c r="M98" s="784"/>
      <c r="N98" s="784"/>
      <c r="O98" s="784"/>
      <c r="P98" s="784"/>
      <c r="Q98" s="784"/>
      <c r="R98" s="784"/>
      <c r="S98" s="784"/>
      <c r="T98" s="785"/>
      <c r="U98" s="784"/>
      <c r="V98" s="784"/>
      <c r="W98" s="784"/>
      <c r="X98" s="784"/>
      <c r="Y98" s="784"/>
      <c r="Z98" s="784"/>
      <c r="AA98" s="784"/>
      <c r="AB98" s="784"/>
      <c r="AC98" s="784"/>
      <c r="AD98" s="784"/>
      <c r="AE98" s="784"/>
      <c r="AF98" s="784"/>
      <c r="AG98" s="784"/>
      <c r="AH98" s="784"/>
      <c r="AI98" s="784"/>
      <c r="AJ98" s="784"/>
      <c r="AK98" s="784"/>
      <c r="AL98" s="784"/>
      <c r="AM98" s="784"/>
      <c r="AN98" s="784"/>
      <c r="AO98" s="784"/>
      <c r="AP98" s="784"/>
      <c r="AQ98" s="784"/>
      <c r="AR98" s="784"/>
      <c r="AS98" s="784"/>
      <c r="AT98" s="784"/>
      <c r="AU98" s="784"/>
      <c r="AV98" s="784"/>
      <c r="AW98" s="784"/>
      <c r="AX98" s="784"/>
      <c r="AY98" s="784"/>
      <c r="AZ98" s="784"/>
      <c r="BA98" s="784"/>
      <c r="BB98" s="784"/>
      <c r="BC98" s="784"/>
      <c r="BD98" s="784"/>
      <c r="BE98" s="784"/>
      <c r="BF98" s="784"/>
      <c r="BG98" s="784"/>
      <c r="BH98" s="784"/>
      <c r="BI98" s="784"/>
      <c r="BJ98" s="784"/>
      <c r="BK98" s="784"/>
      <c r="BL98" s="784"/>
      <c r="BM98" s="784"/>
      <c r="BN98" s="784"/>
      <c r="BO98" s="784"/>
      <c r="BP98" s="784"/>
      <c r="BQ98" s="784"/>
      <c r="BR98" s="784"/>
      <c r="BS98" s="784"/>
      <c r="BT98" s="784"/>
      <c r="BU98" s="784"/>
      <c r="BV98" s="784"/>
      <c r="BW98" s="784"/>
      <c r="BX98" s="784"/>
      <c r="BY98" s="784"/>
      <c r="BZ98" s="784"/>
    </row>
    <row r="99" spans="1:78" ht="14.25">
      <c r="A99" s="784"/>
      <c r="B99" s="784"/>
      <c r="C99" s="784"/>
      <c r="D99" s="784"/>
      <c r="E99" s="784"/>
      <c r="F99" s="784"/>
      <c r="G99" s="784"/>
      <c r="H99" s="784"/>
      <c r="I99" s="784"/>
      <c r="J99" s="784"/>
      <c r="K99" s="784"/>
      <c r="L99" s="784"/>
      <c r="M99" s="784"/>
      <c r="N99" s="784"/>
      <c r="O99" s="784"/>
      <c r="P99" s="784"/>
      <c r="Q99" s="784"/>
      <c r="R99" s="784"/>
      <c r="S99" s="784"/>
      <c r="T99" s="785"/>
      <c r="U99" s="784"/>
      <c r="V99" s="784"/>
      <c r="W99" s="784"/>
      <c r="X99" s="784"/>
      <c r="Y99" s="784"/>
      <c r="Z99" s="784"/>
      <c r="AA99" s="784"/>
      <c r="AB99" s="784"/>
      <c r="AC99" s="784"/>
      <c r="AD99" s="784"/>
      <c r="AE99" s="784"/>
      <c r="AF99" s="784"/>
      <c r="AG99" s="784"/>
      <c r="AH99" s="784"/>
      <c r="AI99" s="784"/>
      <c r="AJ99" s="784"/>
      <c r="AK99" s="784"/>
      <c r="AL99" s="784"/>
      <c r="AM99" s="784"/>
      <c r="AN99" s="784"/>
      <c r="AO99" s="784"/>
      <c r="AP99" s="784"/>
      <c r="AQ99" s="784"/>
      <c r="AR99" s="784"/>
      <c r="AS99" s="784"/>
      <c r="AT99" s="784"/>
      <c r="AU99" s="784"/>
      <c r="AV99" s="784"/>
      <c r="AW99" s="784"/>
      <c r="AX99" s="784"/>
      <c r="AY99" s="784"/>
      <c r="AZ99" s="784"/>
      <c r="BA99" s="784"/>
      <c r="BB99" s="784"/>
      <c r="BC99" s="784"/>
      <c r="BD99" s="784"/>
      <c r="BE99" s="784"/>
      <c r="BF99" s="784"/>
      <c r="BG99" s="784"/>
      <c r="BH99" s="784"/>
      <c r="BI99" s="784"/>
      <c r="BJ99" s="784"/>
      <c r="BK99" s="784"/>
      <c r="BL99" s="784"/>
      <c r="BM99" s="784"/>
      <c r="BN99" s="784"/>
      <c r="BO99" s="784"/>
      <c r="BP99" s="784"/>
      <c r="BQ99" s="784"/>
      <c r="BR99" s="784"/>
      <c r="BS99" s="784"/>
      <c r="BT99" s="784"/>
      <c r="BU99" s="784"/>
      <c r="BV99" s="784"/>
      <c r="BW99" s="784"/>
      <c r="BX99" s="784"/>
      <c r="BY99" s="784"/>
      <c r="BZ99" s="784"/>
    </row>
    <row r="100" spans="1:78" ht="14.25">
      <c r="A100" s="784"/>
      <c r="B100" s="784"/>
      <c r="C100" s="784"/>
      <c r="D100" s="784"/>
      <c r="E100" s="784"/>
      <c r="F100" s="784"/>
      <c r="G100" s="784"/>
      <c r="H100" s="784"/>
      <c r="I100" s="784"/>
      <c r="J100" s="784"/>
      <c r="K100" s="784"/>
      <c r="L100" s="784"/>
      <c r="M100" s="784"/>
      <c r="N100" s="784"/>
      <c r="O100" s="784"/>
      <c r="P100" s="784"/>
      <c r="Q100" s="784"/>
      <c r="R100" s="784"/>
      <c r="S100" s="784"/>
      <c r="T100" s="785"/>
      <c r="U100" s="784"/>
      <c r="V100" s="784"/>
      <c r="W100" s="784"/>
      <c r="X100" s="784"/>
      <c r="Y100" s="784"/>
      <c r="Z100" s="784"/>
      <c r="AA100" s="784"/>
      <c r="AB100" s="784"/>
      <c r="AC100" s="784"/>
      <c r="AD100" s="784"/>
      <c r="AE100" s="784"/>
      <c r="AF100" s="784"/>
      <c r="AG100" s="784"/>
      <c r="AH100" s="784"/>
      <c r="AI100" s="784"/>
      <c r="AJ100" s="784"/>
      <c r="AK100" s="784"/>
      <c r="AL100" s="784"/>
      <c r="AM100" s="784"/>
      <c r="AN100" s="784"/>
      <c r="AO100" s="784"/>
      <c r="AP100" s="784"/>
      <c r="AQ100" s="784"/>
      <c r="AR100" s="784"/>
      <c r="AS100" s="784"/>
      <c r="AT100" s="784"/>
      <c r="AU100" s="784"/>
      <c r="AV100" s="784"/>
      <c r="AW100" s="784"/>
      <c r="AX100" s="784"/>
      <c r="AY100" s="784"/>
      <c r="AZ100" s="784"/>
      <c r="BA100" s="784"/>
      <c r="BB100" s="784"/>
      <c r="BC100" s="784"/>
      <c r="BD100" s="784"/>
      <c r="BE100" s="784"/>
      <c r="BF100" s="784"/>
      <c r="BG100" s="784"/>
      <c r="BH100" s="784"/>
      <c r="BI100" s="784"/>
      <c r="BJ100" s="784"/>
      <c r="BK100" s="784"/>
      <c r="BL100" s="784"/>
      <c r="BM100" s="784"/>
      <c r="BN100" s="784"/>
      <c r="BO100" s="784"/>
      <c r="BP100" s="784"/>
      <c r="BQ100" s="784"/>
      <c r="BR100" s="784"/>
      <c r="BS100" s="784"/>
      <c r="BT100" s="784"/>
      <c r="BU100" s="784"/>
      <c r="BV100" s="784"/>
      <c r="BW100" s="784"/>
      <c r="BX100" s="784"/>
      <c r="BY100" s="784"/>
      <c r="BZ100" s="784"/>
    </row>
    <row r="101" spans="1:78" ht="14.25">
      <c r="A101" s="784"/>
      <c r="B101" s="784"/>
      <c r="C101" s="784"/>
      <c r="D101" s="784"/>
      <c r="E101" s="784"/>
      <c r="F101" s="784"/>
      <c r="G101" s="784"/>
      <c r="H101" s="784"/>
      <c r="I101" s="784"/>
      <c r="J101" s="784"/>
      <c r="K101" s="784"/>
      <c r="L101" s="784"/>
      <c r="M101" s="784"/>
      <c r="N101" s="784"/>
      <c r="O101" s="784"/>
      <c r="P101" s="784"/>
      <c r="Q101" s="784"/>
      <c r="R101" s="784"/>
      <c r="S101" s="784"/>
      <c r="T101" s="785"/>
      <c r="U101" s="784"/>
      <c r="V101" s="784"/>
      <c r="W101" s="784"/>
      <c r="X101" s="784"/>
      <c r="Y101" s="784"/>
      <c r="Z101" s="784"/>
      <c r="AA101" s="784"/>
      <c r="AB101" s="784"/>
      <c r="AC101" s="784"/>
      <c r="AD101" s="784"/>
      <c r="AE101" s="784"/>
      <c r="AF101" s="784"/>
      <c r="AG101" s="784"/>
      <c r="AH101" s="784"/>
      <c r="AI101" s="784"/>
      <c r="AJ101" s="784"/>
      <c r="AK101" s="784"/>
      <c r="AL101" s="784"/>
      <c r="AM101" s="784"/>
      <c r="AN101" s="784"/>
      <c r="AO101" s="784"/>
      <c r="AP101" s="784"/>
      <c r="AQ101" s="784"/>
      <c r="AR101" s="784"/>
      <c r="AS101" s="784"/>
      <c r="AT101" s="784"/>
      <c r="AU101" s="784"/>
      <c r="AV101" s="784"/>
      <c r="AW101" s="784"/>
      <c r="AX101" s="784"/>
      <c r="AY101" s="784"/>
      <c r="AZ101" s="784"/>
      <c r="BA101" s="784"/>
      <c r="BB101" s="784"/>
      <c r="BC101" s="784"/>
      <c r="BD101" s="784"/>
      <c r="BE101" s="784"/>
      <c r="BF101" s="784"/>
      <c r="BG101" s="784"/>
      <c r="BH101" s="784"/>
      <c r="BI101" s="784"/>
      <c r="BJ101" s="784"/>
      <c r="BK101" s="784"/>
      <c r="BL101" s="784"/>
      <c r="BM101" s="784"/>
      <c r="BN101" s="784"/>
      <c r="BO101" s="784"/>
      <c r="BP101" s="784"/>
      <c r="BQ101" s="784"/>
      <c r="BR101" s="784"/>
      <c r="BS101" s="784"/>
      <c r="BT101" s="784"/>
      <c r="BU101" s="784"/>
      <c r="BV101" s="784"/>
      <c r="BW101" s="784"/>
      <c r="BX101" s="784"/>
      <c r="BY101" s="784"/>
      <c r="BZ101" s="784"/>
    </row>
    <row r="102" spans="1:78" ht="14.25">
      <c r="A102" s="784"/>
      <c r="B102" s="784"/>
      <c r="C102" s="784"/>
      <c r="D102" s="784"/>
      <c r="E102" s="784"/>
      <c r="F102" s="784"/>
      <c r="G102" s="784"/>
      <c r="H102" s="784"/>
      <c r="I102" s="784"/>
      <c r="J102" s="784"/>
      <c r="K102" s="784"/>
      <c r="L102" s="784"/>
      <c r="M102" s="784"/>
      <c r="N102" s="784"/>
      <c r="O102" s="784"/>
      <c r="P102" s="784"/>
      <c r="Q102" s="784"/>
      <c r="R102" s="784"/>
      <c r="S102" s="784"/>
      <c r="T102" s="785"/>
      <c r="U102" s="784"/>
      <c r="V102" s="784"/>
      <c r="W102" s="784"/>
      <c r="X102" s="784"/>
      <c r="Y102" s="784"/>
      <c r="Z102" s="784"/>
      <c r="AA102" s="784"/>
      <c r="AB102" s="784"/>
      <c r="AC102" s="784"/>
      <c r="AD102" s="784"/>
      <c r="AE102" s="784"/>
      <c r="AF102" s="784"/>
      <c r="AG102" s="784"/>
      <c r="AH102" s="784"/>
      <c r="AI102" s="784"/>
      <c r="AJ102" s="784"/>
      <c r="AK102" s="784"/>
      <c r="AL102" s="784"/>
      <c r="AM102" s="784"/>
      <c r="AN102" s="784"/>
      <c r="AO102" s="784"/>
      <c r="AP102" s="784"/>
      <c r="AQ102" s="784"/>
      <c r="AR102" s="784"/>
      <c r="AS102" s="784"/>
      <c r="AT102" s="784"/>
      <c r="AU102" s="784"/>
      <c r="AV102" s="784"/>
      <c r="AW102" s="784"/>
      <c r="AX102" s="784"/>
      <c r="AY102" s="784"/>
      <c r="AZ102" s="784"/>
      <c r="BA102" s="784"/>
      <c r="BB102" s="784"/>
      <c r="BC102" s="784"/>
      <c r="BD102" s="784"/>
      <c r="BE102" s="784"/>
      <c r="BF102" s="784"/>
      <c r="BG102" s="784"/>
      <c r="BH102" s="784"/>
      <c r="BI102" s="784"/>
      <c r="BJ102" s="784"/>
      <c r="BK102" s="784"/>
      <c r="BL102" s="784"/>
      <c r="BM102" s="784"/>
      <c r="BN102" s="784"/>
      <c r="BO102" s="784"/>
      <c r="BP102" s="784"/>
      <c r="BQ102" s="784"/>
      <c r="BR102" s="784"/>
      <c r="BS102" s="784"/>
      <c r="BT102" s="784"/>
      <c r="BU102" s="784"/>
      <c r="BV102" s="784"/>
      <c r="BW102" s="784"/>
      <c r="BX102" s="784"/>
      <c r="BY102" s="784"/>
      <c r="BZ102" s="784"/>
    </row>
    <row r="103" spans="1:78" ht="14.25">
      <c r="A103" s="784"/>
      <c r="B103" s="784"/>
      <c r="C103" s="784"/>
      <c r="D103" s="784"/>
      <c r="E103" s="784"/>
      <c r="F103" s="784"/>
      <c r="G103" s="784"/>
      <c r="H103" s="784"/>
      <c r="I103" s="784"/>
      <c r="J103" s="784"/>
      <c r="K103" s="784"/>
      <c r="L103" s="784"/>
      <c r="M103" s="784"/>
      <c r="N103" s="784"/>
      <c r="O103" s="784"/>
      <c r="P103" s="784"/>
      <c r="Q103" s="784"/>
      <c r="R103" s="784"/>
      <c r="S103" s="784"/>
      <c r="T103" s="785"/>
      <c r="U103" s="784"/>
      <c r="V103" s="784"/>
      <c r="W103" s="784"/>
      <c r="X103" s="784"/>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784"/>
      <c r="AY103" s="784"/>
      <c r="AZ103" s="784"/>
      <c r="BA103" s="784"/>
      <c r="BB103" s="784"/>
      <c r="BC103" s="784"/>
      <c r="BD103" s="784"/>
      <c r="BE103" s="784"/>
      <c r="BF103" s="784"/>
      <c r="BG103" s="784"/>
      <c r="BH103" s="784"/>
      <c r="BI103" s="784"/>
      <c r="BJ103" s="784"/>
      <c r="BK103" s="784"/>
      <c r="BL103" s="784"/>
      <c r="BM103" s="784"/>
      <c r="BN103" s="784"/>
      <c r="BO103" s="784"/>
      <c r="BP103" s="784"/>
      <c r="BQ103" s="784"/>
      <c r="BR103" s="784"/>
      <c r="BS103" s="784"/>
      <c r="BT103" s="784"/>
      <c r="BU103" s="784"/>
      <c r="BV103" s="784"/>
      <c r="BW103" s="784"/>
      <c r="BX103" s="784"/>
      <c r="BY103" s="784"/>
      <c r="BZ103" s="784"/>
    </row>
    <row r="104" spans="1:78" ht="14.25">
      <c r="A104" s="784"/>
      <c r="B104" s="784"/>
      <c r="C104" s="784"/>
      <c r="D104" s="784"/>
      <c r="E104" s="784"/>
      <c r="F104" s="784"/>
      <c r="G104" s="784"/>
      <c r="H104" s="784"/>
      <c r="I104" s="784"/>
      <c r="J104" s="784"/>
      <c r="K104" s="784"/>
      <c r="L104" s="784"/>
      <c r="M104" s="784"/>
      <c r="N104" s="784"/>
      <c r="O104" s="784"/>
      <c r="P104" s="784"/>
      <c r="Q104" s="784"/>
      <c r="R104" s="784"/>
      <c r="S104" s="784"/>
      <c r="T104" s="785"/>
      <c r="U104" s="784"/>
      <c r="V104" s="784"/>
      <c r="W104" s="784"/>
      <c r="X104" s="784"/>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4"/>
      <c r="AY104" s="784"/>
      <c r="AZ104" s="784"/>
      <c r="BA104" s="784"/>
      <c r="BB104" s="784"/>
      <c r="BC104" s="784"/>
      <c r="BD104" s="784"/>
      <c r="BE104" s="784"/>
      <c r="BF104" s="784"/>
      <c r="BG104" s="784"/>
      <c r="BH104" s="784"/>
      <c r="BI104" s="784"/>
      <c r="BJ104" s="784"/>
      <c r="BK104" s="784"/>
      <c r="BL104" s="784"/>
      <c r="BM104" s="784"/>
      <c r="BN104" s="784"/>
      <c r="BO104" s="784"/>
      <c r="BP104" s="784"/>
      <c r="BQ104" s="784"/>
      <c r="BR104" s="784"/>
      <c r="BS104" s="784"/>
      <c r="BT104" s="784"/>
      <c r="BU104" s="784"/>
      <c r="BV104" s="784"/>
      <c r="BW104" s="784"/>
      <c r="BX104" s="784"/>
      <c r="BY104" s="784"/>
      <c r="BZ104" s="784"/>
    </row>
    <row r="105" spans="1:78" ht="14.25">
      <c r="A105" s="784"/>
      <c r="B105" s="784"/>
      <c r="C105" s="784"/>
      <c r="D105" s="784"/>
      <c r="E105" s="784"/>
      <c r="F105" s="784"/>
      <c r="G105" s="784"/>
      <c r="H105" s="784"/>
      <c r="I105" s="784"/>
      <c r="J105" s="784"/>
      <c r="K105" s="784"/>
      <c r="L105" s="784"/>
      <c r="M105" s="784"/>
      <c r="N105" s="784"/>
      <c r="O105" s="784"/>
      <c r="P105" s="784"/>
      <c r="Q105" s="784"/>
      <c r="R105" s="784"/>
      <c r="S105" s="784"/>
      <c r="T105" s="785"/>
      <c r="U105" s="784"/>
      <c r="V105" s="784"/>
      <c r="W105" s="784"/>
      <c r="X105" s="784"/>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4"/>
      <c r="AY105" s="784"/>
      <c r="AZ105" s="784"/>
      <c r="BA105" s="784"/>
      <c r="BB105" s="784"/>
      <c r="BC105" s="784"/>
      <c r="BD105" s="784"/>
      <c r="BE105" s="784"/>
      <c r="BF105" s="784"/>
      <c r="BG105" s="784"/>
      <c r="BH105" s="784"/>
      <c r="BI105" s="784"/>
      <c r="BJ105" s="784"/>
      <c r="BK105" s="784"/>
      <c r="BL105" s="784"/>
      <c r="BM105" s="784"/>
      <c r="BN105" s="784"/>
      <c r="BO105" s="784"/>
      <c r="BP105" s="784"/>
      <c r="BQ105" s="784"/>
      <c r="BR105" s="784"/>
      <c r="BS105" s="784"/>
      <c r="BT105" s="784"/>
      <c r="BU105" s="784"/>
      <c r="BV105" s="784"/>
      <c r="BW105" s="784"/>
      <c r="BX105" s="784"/>
      <c r="BY105" s="784"/>
      <c r="BZ105" s="784"/>
    </row>
    <row r="106" spans="1:78" ht="14.25">
      <c r="A106" s="784"/>
      <c r="B106" s="784"/>
      <c r="C106" s="784"/>
      <c r="D106" s="784"/>
      <c r="E106" s="784"/>
      <c r="F106" s="784"/>
      <c r="G106" s="784"/>
      <c r="H106" s="784"/>
      <c r="I106" s="784"/>
      <c r="J106" s="784"/>
      <c r="K106" s="784"/>
      <c r="L106" s="784"/>
      <c r="M106" s="784"/>
      <c r="N106" s="784"/>
      <c r="O106" s="784"/>
      <c r="P106" s="784"/>
      <c r="Q106" s="784"/>
      <c r="R106" s="784"/>
      <c r="S106" s="784"/>
      <c r="T106" s="785"/>
      <c r="U106" s="784"/>
      <c r="V106" s="784"/>
      <c r="W106" s="784"/>
      <c r="X106" s="784"/>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4"/>
      <c r="AY106" s="784"/>
      <c r="AZ106" s="784"/>
      <c r="BA106" s="784"/>
      <c r="BB106" s="784"/>
      <c r="BC106" s="784"/>
      <c r="BD106" s="784"/>
      <c r="BE106" s="784"/>
      <c r="BF106" s="784"/>
      <c r="BG106" s="784"/>
      <c r="BH106" s="784"/>
      <c r="BI106" s="784"/>
      <c r="BJ106" s="784"/>
      <c r="BK106" s="784"/>
      <c r="BL106" s="784"/>
      <c r="BM106" s="784"/>
      <c r="BN106" s="784"/>
      <c r="BO106" s="784"/>
      <c r="BP106" s="784"/>
      <c r="BQ106" s="784"/>
      <c r="BR106" s="784"/>
      <c r="BS106" s="784"/>
      <c r="BT106" s="784"/>
      <c r="BU106" s="784"/>
      <c r="BV106" s="784"/>
      <c r="BW106" s="784"/>
      <c r="BX106" s="784"/>
      <c r="BY106" s="784"/>
      <c r="BZ106" s="784"/>
    </row>
    <row r="107" spans="1:78" ht="14.25">
      <c r="A107" s="784"/>
      <c r="B107" s="784"/>
      <c r="C107" s="784"/>
      <c r="D107" s="784"/>
      <c r="E107" s="784"/>
      <c r="F107" s="784"/>
      <c r="G107" s="784"/>
      <c r="H107" s="784"/>
      <c r="I107" s="784"/>
      <c r="J107" s="784"/>
      <c r="K107" s="784"/>
      <c r="L107" s="784"/>
      <c r="M107" s="784"/>
      <c r="N107" s="784"/>
      <c r="O107" s="784"/>
      <c r="P107" s="784"/>
      <c r="Q107" s="784"/>
      <c r="R107" s="784"/>
      <c r="S107" s="784"/>
      <c r="T107" s="785"/>
      <c r="U107" s="784"/>
      <c r="V107" s="784"/>
      <c r="W107" s="784"/>
      <c r="X107" s="784"/>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4"/>
      <c r="AY107" s="784"/>
      <c r="AZ107" s="784"/>
      <c r="BA107" s="784"/>
      <c r="BB107" s="784"/>
      <c r="BC107" s="784"/>
      <c r="BD107" s="784"/>
      <c r="BE107" s="784"/>
      <c r="BF107" s="784"/>
      <c r="BG107" s="784"/>
      <c r="BH107" s="784"/>
      <c r="BI107" s="784"/>
      <c r="BJ107" s="784"/>
      <c r="BK107" s="784"/>
      <c r="BL107" s="784"/>
      <c r="BM107" s="784"/>
      <c r="BN107" s="784"/>
      <c r="BO107" s="784"/>
      <c r="BP107" s="784"/>
      <c r="BQ107" s="784"/>
      <c r="BR107" s="784"/>
      <c r="BS107" s="784"/>
      <c r="BT107" s="784"/>
      <c r="BU107" s="784"/>
      <c r="BV107" s="784"/>
      <c r="BW107" s="784"/>
      <c r="BX107" s="784"/>
      <c r="BY107" s="784"/>
      <c r="BZ107" s="784"/>
    </row>
    <row r="108" spans="1:78" ht="14.25">
      <c r="A108" s="784"/>
      <c r="B108" s="784"/>
      <c r="C108" s="784"/>
      <c r="D108" s="784"/>
      <c r="E108" s="784"/>
      <c r="F108" s="784"/>
      <c r="G108" s="784"/>
      <c r="H108" s="784"/>
      <c r="I108" s="784"/>
      <c r="J108" s="784"/>
      <c r="K108" s="784"/>
      <c r="L108" s="784"/>
      <c r="M108" s="784"/>
      <c r="N108" s="784"/>
      <c r="O108" s="784"/>
      <c r="P108" s="784"/>
      <c r="Q108" s="784"/>
      <c r="R108" s="784"/>
      <c r="S108" s="784"/>
      <c r="T108" s="785"/>
      <c r="U108" s="784"/>
      <c r="V108" s="784"/>
      <c r="W108" s="784"/>
      <c r="X108" s="784"/>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4"/>
      <c r="AY108" s="784"/>
      <c r="AZ108" s="784"/>
      <c r="BA108" s="784"/>
      <c r="BB108" s="784"/>
      <c r="BC108" s="784"/>
      <c r="BD108" s="784"/>
      <c r="BE108" s="784"/>
      <c r="BF108" s="784"/>
      <c r="BG108" s="784"/>
      <c r="BH108" s="784"/>
      <c r="BI108" s="784"/>
      <c r="BJ108" s="784"/>
      <c r="BK108" s="784"/>
      <c r="BL108" s="784"/>
      <c r="BM108" s="784"/>
      <c r="BN108" s="784"/>
      <c r="BO108" s="784"/>
      <c r="BP108" s="784"/>
      <c r="BQ108" s="784"/>
      <c r="BR108" s="784"/>
      <c r="BS108" s="784"/>
      <c r="BT108" s="784"/>
      <c r="BU108" s="784"/>
      <c r="BV108" s="784"/>
      <c r="BW108" s="784"/>
      <c r="BX108" s="784"/>
      <c r="BY108" s="784"/>
      <c r="BZ108" s="784"/>
    </row>
    <row r="109" spans="1:78" ht="14.25">
      <c r="A109" s="784"/>
      <c r="B109" s="784"/>
      <c r="C109" s="784"/>
      <c r="D109" s="784"/>
      <c r="E109" s="784"/>
      <c r="F109" s="784"/>
      <c r="G109" s="784"/>
      <c r="H109" s="784"/>
      <c r="I109" s="784"/>
      <c r="J109" s="784"/>
      <c r="K109" s="784"/>
      <c r="L109" s="784"/>
      <c r="M109" s="784"/>
      <c r="N109" s="784"/>
      <c r="O109" s="784"/>
      <c r="P109" s="784"/>
      <c r="Q109" s="784"/>
      <c r="R109" s="784"/>
      <c r="S109" s="784"/>
      <c r="T109" s="785"/>
      <c r="U109" s="784"/>
      <c r="V109" s="784"/>
      <c r="W109" s="784"/>
      <c r="X109" s="784"/>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4"/>
      <c r="BQ109" s="784"/>
      <c r="BR109" s="784"/>
      <c r="BS109" s="784"/>
      <c r="BT109" s="784"/>
      <c r="BU109" s="784"/>
      <c r="BV109" s="784"/>
      <c r="BW109" s="784"/>
      <c r="BX109" s="784"/>
      <c r="BY109" s="784"/>
      <c r="BZ109" s="784"/>
    </row>
    <row r="110" spans="1:78" ht="14.25">
      <c r="A110" s="784"/>
      <c r="B110" s="784"/>
      <c r="C110" s="784"/>
      <c r="D110" s="784"/>
      <c r="E110" s="784"/>
      <c r="F110" s="784"/>
      <c r="G110" s="784"/>
      <c r="H110" s="784"/>
      <c r="I110" s="784"/>
      <c r="J110" s="784"/>
      <c r="K110" s="784"/>
      <c r="L110" s="784"/>
      <c r="M110" s="784"/>
      <c r="N110" s="784"/>
      <c r="O110" s="784"/>
      <c r="P110" s="784"/>
      <c r="Q110" s="784"/>
      <c r="R110" s="784"/>
      <c r="S110" s="784"/>
      <c r="T110" s="785"/>
      <c r="U110" s="784"/>
      <c r="V110" s="784"/>
      <c r="W110" s="784"/>
      <c r="X110" s="784"/>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4"/>
      <c r="AY110" s="784"/>
      <c r="AZ110" s="784"/>
      <c r="BA110" s="784"/>
      <c r="BB110" s="784"/>
      <c r="BC110" s="784"/>
      <c r="BD110" s="784"/>
      <c r="BE110" s="784"/>
      <c r="BF110" s="784"/>
      <c r="BG110" s="784"/>
      <c r="BH110" s="784"/>
      <c r="BI110" s="784"/>
      <c r="BJ110" s="784"/>
      <c r="BK110" s="784"/>
      <c r="BL110" s="784"/>
      <c r="BM110" s="784"/>
      <c r="BN110" s="784"/>
      <c r="BO110" s="784"/>
      <c r="BP110" s="784"/>
      <c r="BQ110" s="784"/>
      <c r="BR110" s="784"/>
      <c r="BS110" s="784"/>
      <c r="BT110" s="784"/>
      <c r="BU110" s="784"/>
      <c r="BV110" s="784"/>
      <c r="BW110" s="784"/>
      <c r="BX110" s="784"/>
      <c r="BY110" s="784"/>
      <c r="BZ110" s="784"/>
    </row>
    <row r="111" spans="1:78" ht="14.25">
      <c r="A111" s="784"/>
      <c r="B111" s="784"/>
      <c r="C111" s="784"/>
      <c r="D111" s="784"/>
      <c r="E111" s="784"/>
      <c r="F111" s="784"/>
      <c r="G111" s="784"/>
      <c r="H111" s="784"/>
      <c r="I111" s="784"/>
      <c r="J111" s="784"/>
      <c r="K111" s="784"/>
      <c r="L111" s="784"/>
      <c r="M111" s="784"/>
      <c r="N111" s="784"/>
      <c r="O111" s="784"/>
      <c r="P111" s="784"/>
      <c r="Q111" s="784"/>
      <c r="R111" s="784"/>
      <c r="S111" s="784"/>
      <c r="T111" s="785"/>
      <c r="U111" s="784"/>
      <c r="V111" s="784"/>
      <c r="W111" s="784"/>
      <c r="X111" s="784"/>
      <c r="Y111" s="784"/>
      <c r="Z111" s="784"/>
      <c r="AA111" s="784"/>
      <c r="AB111" s="784"/>
      <c r="AC111" s="784"/>
      <c r="AD111" s="784"/>
      <c r="AE111" s="784"/>
      <c r="AF111" s="784"/>
      <c r="AG111" s="784"/>
      <c r="AH111" s="784"/>
      <c r="AI111" s="784"/>
      <c r="AJ111" s="784"/>
      <c r="AK111" s="784"/>
      <c r="AL111" s="784"/>
      <c r="AM111" s="784"/>
      <c r="AN111" s="784"/>
      <c r="AO111" s="784"/>
      <c r="AP111" s="784"/>
      <c r="AQ111" s="784"/>
      <c r="AR111" s="784"/>
      <c r="AS111" s="784"/>
      <c r="AT111" s="784"/>
      <c r="AU111" s="784"/>
      <c r="AV111" s="784"/>
      <c r="AW111" s="784"/>
      <c r="AX111" s="784"/>
      <c r="AY111" s="784"/>
      <c r="AZ111" s="784"/>
      <c r="BA111" s="784"/>
      <c r="BB111" s="784"/>
      <c r="BC111" s="784"/>
      <c r="BD111" s="784"/>
      <c r="BE111" s="784"/>
      <c r="BF111" s="784"/>
      <c r="BG111" s="784"/>
      <c r="BH111" s="784"/>
      <c r="BI111" s="784"/>
      <c r="BJ111" s="784"/>
      <c r="BK111" s="784"/>
      <c r="BL111" s="784"/>
      <c r="BM111" s="784"/>
      <c r="BN111" s="784"/>
      <c r="BO111" s="784"/>
      <c r="BP111" s="784"/>
      <c r="BQ111" s="784"/>
      <c r="BR111" s="784"/>
      <c r="BS111" s="784"/>
      <c r="BT111" s="784"/>
      <c r="BU111" s="784"/>
      <c r="BV111" s="784"/>
      <c r="BW111" s="784"/>
      <c r="BX111" s="784"/>
      <c r="BY111" s="784"/>
      <c r="BZ111" s="784"/>
    </row>
    <row r="112" spans="1:78" ht="14.25">
      <c r="A112" s="784"/>
      <c r="B112" s="784"/>
      <c r="C112" s="784"/>
      <c r="D112" s="784"/>
      <c r="E112" s="784"/>
      <c r="F112" s="784"/>
      <c r="G112" s="784"/>
      <c r="H112" s="784"/>
      <c r="I112" s="784"/>
      <c r="J112" s="784"/>
      <c r="K112" s="784"/>
      <c r="L112" s="784"/>
      <c r="M112" s="784"/>
      <c r="N112" s="784"/>
      <c r="O112" s="784"/>
      <c r="P112" s="784"/>
      <c r="Q112" s="784"/>
      <c r="R112" s="784"/>
      <c r="S112" s="784"/>
      <c r="T112" s="785"/>
      <c r="U112" s="784"/>
      <c r="V112" s="784"/>
      <c r="W112" s="784"/>
      <c r="X112" s="784"/>
      <c r="Y112" s="784"/>
      <c r="Z112" s="784"/>
      <c r="AA112" s="784"/>
      <c r="AB112" s="784"/>
      <c r="AC112" s="784"/>
      <c r="AD112" s="784"/>
      <c r="AE112" s="784"/>
      <c r="AF112" s="784"/>
      <c r="AG112" s="784"/>
      <c r="AH112" s="784"/>
      <c r="AI112" s="784"/>
      <c r="AJ112" s="784"/>
      <c r="AK112" s="784"/>
      <c r="AL112" s="784"/>
      <c r="AM112" s="784"/>
      <c r="AN112" s="784"/>
      <c r="AO112" s="784"/>
      <c r="AP112" s="784"/>
      <c r="AQ112" s="784"/>
      <c r="AR112" s="784"/>
      <c r="AS112" s="784"/>
      <c r="AT112" s="784"/>
      <c r="AU112" s="784"/>
      <c r="AV112" s="784"/>
      <c r="AW112" s="784"/>
      <c r="AX112" s="784"/>
      <c r="AY112" s="784"/>
      <c r="AZ112" s="784"/>
      <c r="BA112" s="784"/>
      <c r="BB112" s="784"/>
      <c r="BC112" s="784"/>
      <c r="BD112" s="784"/>
      <c r="BE112" s="784"/>
      <c r="BF112" s="784"/>
      <c r="BG112" s="784"/>
      <c r="BH112" s="784"/>
      <c r="BI112" s="784"/>
      <c r="BJ112" s="784"/>
      <c r="BK112" s="784"/>
      <c r="BL112" s="784"/>
      <c r="BM112" s="784"/>
      <c r="BN112" s="784"/>
      <c r="BO112" s="784"/>
      <c r="BP112" s="784"/>
      <c r="BQ112" s="784"/>
      <c r="BR112" s="784"/>
      <c r="BS112" s="784"/>
      <c r="BT112" s="784"/>
      <c r="BU112" s="784"/>
      <c r="BV112" s="784"/>
      <c r="BW112" s="784"/>
      <c r="BX112" s="784"/>
      <c r="BY112" s="784"/>
      <c r="BZ112" s="784"/>
    </row>
    <row r="113" spans="1:78" ht="14.25">
      <c r="A113" s="784"/>
      <c r="B113" s="784"/>
      <c r="C113" s="784"/>
      <c r="D113" s="784"/>
      <c r="E113" s="784"/>
      <c r="F113" s="784"/>
      <c r="G113" s="784"/>
      <c r="H113" s="784"/>
      <c r="I113" s="784"/>
      <c r="J113" s="784"/>
      <c r="K113" s="784"/>
      <c r="L113" s="784"/>
      <c r="M113" s="784"/>
      <c r="N113" s="784"/>
      <c r="O113" s="784"/>
      <c r="P113" s="784"/>
      <c r="Q113" s="784"/>
      <c r="R113" s="784"/>
      <c r="S113" s="784"/>
      <c r="T113" s="785"/>
      <c r="U113" s="784"/>
      <c r="V113" s="784"/>
      <c r="W113" s="784"/>
      <c r="X113" s="784"/>
      <c r="Y113" s="784"/>
      <c r="Z113" s="784"/>
      <c r="AA113" s="784"/>
      <c r="AB113" s="784"/>
      <c r="AC113" s="784"/>
      <c r="AD113" s="784"/>
      <c r="AE113" s="784"/>
      <c r="AF113" s="784"/>
      <c r="AG113" s="784"/>
      <c r="AH113" s="784"/>
      <c r="AI113" s="784"/>
      <c r="AJ113" s="784"/>
      <c r="AK113" s="784"/>
      <c r="AL113" s="784"/>
      <c r="AM113" s="784"/>
      <c r="AN113" s="784"/>
      <c r="AO113" s="784"/>
      <c r="AP113" s="784"/>
      <c r="AQ113" s="784"/>
      <c r="AR113" s="784"/>
      <c r="AS113" s="784"/>
      <c r="AT113" s="784"/>
      <c r="AU113" s="784"/>
      <c r="AV113" s="784"/>
      <c r="AW113" s="784"/>
      <c r="AX113" s="784"/>
      <c r="AY113" s="784"/>
      <c r="AZ113" s="784"/>
      <c r="BA113" s="784"/>
      <c r="BB113" s="784"/>
      <c r="BC113" s="784"/>
      <c r="BD113" s="784"/>
      <c r="BE113" s="784"/>
      <c r="BF113" s="784"/>
      <c r="BG113" s="784"/>
      <c r="BH113" s="784"/>
      <c r="BI113" s="784"/>
      <c r="BJ113" s="784"/>
      <c r="BK113" s="784"/>
      <c r="BL113" s="784"/>
      <c r="BM113" s="784"/>
      <c r="BN113" s="784"/>
      <c r="BO113" s="784"/>
      <c r="BP113" s="784"/>
      <c r="BQ113" s="784"/>
      <c r="BR113" s="784"/>
      <c r="BS113" s="784"/>
      <c r="BT113" s="784"/>
      <c r="BU113" s="784"/>
      <c r="BV113" s="784"/>
      <c r="BW113" s="784"/>
      <c r="BX113" s="784"/>
      <c r="BY113" s="784"/>
      <c r="BZ113" s="784"/>
    </row>
    <row r="114" spans="1:78" ht="14.25">
      <c r="A114" s="784"/>
      <c r="B114" s="784"/>
      <c r="C114" s="784"/>
      <c r="D114" s="784"/>
      <c r="E114" s="784"/>
      <c r="F114" s="784"/>
      <c r="G114" s="784"/>
      <c r="H114" s="784"/>
      <c r="I114" s="784"/>
      <c r="J114" s="784"/>
      <c r="K114" s="784"/>
      <c r="L114" s="784"/>
      <c r="M114" s="784"/>
      <c r="N114" s="784"/>
      <c r="O114" s="784"/>
      <c r="P114" s="784"/>
      <c r="Q114" s="784"/>
      <c r="R114" s="784"/>
      <c r="S114" s="784"/>
      <c r="T114" s="785"/>
      <c r="U114" s="784"/>
      <c r="V114" s="784"/>
      <c r="W114" s="784"/>
      <c r="X114" s="784"/>
      <c r="Y114" s="784"/>
      <c r="Z114" s="784"/>
      <c r="AA114" s="784"/>
      <c r="AB114" s="784"/>
      <c r="AC114" s="784"/>
      <c r="AD114" s="784"/>
      <c r="AE114" s="784"/>
      <c r="AF114" s="784"/>
      <c r="AG114" s="784"/>
      <c r="AH114" s="784"/>
      <c r="AI114" s="784"/>
      <c r="AJ114" s="784"/>
      <c r="AK114" s="784"/>
      <c r="AL114" s="784"/>
      <c r="AM114" s="784"/>
      <c r="AN114" s="784"/>
      <c r="AO114" s="784"/>
      <c r="AP114" s="784"/>
      <c r="AQ114" s="784"/>
      <c r="AR114" s="784"/>
      <c r="AS114" s="784"/>
      <c r="AT114" s="784"/>
      <c r="AU114" s="784"/>
      <c r="AV114" s="784"/>
      <c r="AW114" s="784"/>
      <c r="AX114" s="784"/>
      <c r="AY114" s="784"/>
      <c r="AZ114" s="784"/>
      <c r="BA114" s="784"/>
      <c r="BB114" s="784"/>
      <c r="BC114" s="784"/>
      <c r="BD114" s="784"/>
      <c r="BE114" s="784"/>
      <c r="BF114" s="784"/>
      <c r="BG114" s="784"/>
      <c r="BH114" s="784"/>
      <c r="BI114" s="784"/>
      <c r="BJ114" s="784"/>
      <c r="BK114" s="784"/>
      <c r="BL114" s="784"/>
      <c r="BM114" s="784"/>
      <c r="BN114" s="784"/>
      <c r="BO114" s="784"/>
      <c r="BP114" s="784"/>
      <c r="BQ114" s="784"/>
      <c r="BR114" s="784"/>
      <c r="BS114" s="784"/>
      <c r="BT114" s="784"/>
      <c r="BU114" s="784"/>
      <c r="BV114" s="784"/>
      <c r="BW114" s="784"/>
      <c r="BX114" s="784"/>
      <c r="BY114" s="784"/>
      <c r="BZ114" s="784"/>
    </row>
    <row r="115" spans="1:78" ht="14.25">
      <c r="A115" s="784"/>
      <c r="B115" s="784"/>
      <c r="C115" s="784"/>
      <c r="D115" s="784"/>
      <c r="E115" s="784"/>
      <c r="F115" s="784"/>
      <c r="G115" s="784"/>
      <c r="H115" s="784"/>
      <c r="I115" s="784"/>
      <c r="J115" s="784"/>
      <c r="K115" s="784"/>
      <c r="L115" s="784"/>
      <c r="M115" s="784"/>
      <c r="N115" s="784"/>
      <c r="O115" s="784"/>
      <c r="P115" s="784"/>
      <c r="Q115" s="784"/>
      <c r="R115" s="784"/>
      <c r="S115" s="784"/>
      <c r="T115" s="785"/>
      <c r="U115" s="784"/>
      <c r="V115" s="784"/>
      <c r="W115" s="784"/>
      <c r="X115" s="784"/>
      <c r="Y115" s="784"/>
      <c r="Z115" s="784"/>
      <c r="AA115" s="784"/>
      <c r="AB115" s="784"/>
      <c r="AC115" s="784"/>
      <c r="AD115" s="784"/>
      <c r="AE115" s="784"/>
      <c r="AF115" s="784"/>
      <c r="AG115" s="784"/>
      <c r="AH115" s="784"/>
      <c r="AI115" s="784"/>
      <c r="AJ115" s="784"/>
      <c r="AK115" s="784"/>
      <c r="AL115" s="784"/>
      <c r="AM115" s="784"/>
      <c r="AN115" s="784"/>
      <c r="AO115" s="784"/>
      <c r="AP115" s="784"/>
      <c r="AQ115" s="784"/>
      <c r="AR115" s="784"/>
      <c r="AS115" s="784"/>
      <c r="AT115" s="784"/>
      <c r="AU115" s="784"/>
      <c r="AV115" s="784"/>
      <c r="AW115" s="784"/>
      <c r="AX115" s="784"/>
      <c r="AY115" s="784"/>
      <c r="AZ115" s="784"/>
      <c r="BA115" s="784"/>
      <c r="BB115" s="784"/>
      <c r="BC115" s="784"/>
      <c r="BD115" s="784"/>
      <c r="BE115" s="784"/>
      <c r="BF115" s="784"/>
      <c r="BG115" s="784"/>
      <c r="BH115" s="784"/>
      <c r="BI115" s="784"/>
      <c r="BJ115" s="784"/>
      <c r="BK115" s="784"/>
      <c r="BL115" s="784"/>
      <c r="BM115" s="784"/>
      <c r="BN115" s="784"/>
      <c r="BO115" s="784"/>
      <c r="BP115" s="784"/>
      <c r="BQ115" s="784"/>
      <c r="BR115" s="784"/>
      <c r="BS115" s="784"/>
      <c r="BT115" s="784"/>
      <c r="BU115" s="784"/>
      <c r="BV115" s="784"/>
      <c r="BW115" s="784"/>
      <c r="BX115" s="784"/>
      <c r="BY115" s="784"/>
      <c r="BZ115" s="784"/>
    </row>
    <row r="116" spans="1:78" ht="14.25">
      <c r="A116" s="784"/>
      <c r="B116" s="784"/>
      <c r="C116" s="784"/>
      <c r="D116" s="784"/>
      <c r="E116" s="784"/>
      <c r="F116" s="784"/>
      <c r="G116" s="784"/>
      <c r="H116" s="784"/>
      <c r="I116" s="784"/>
      <c r="J116" s="784"/>
      <c r="K116" s="784"/>
      <c r="L116" s="784"/>
      <c r="M116" s="784"/>
      <c r="N116" s="784"/>
      <c r="O116" s="784"/>
      <c r="P116" s="784"/>
      <c r="Q116" s="784"/>
      <c r="R116" s="784"/>
      <c r="S116" s="784"/>
      <c r="T116" s="785"/>
      <c r="U116" s="784"/>
      <c r="V116" s="784"/>
      <c r="W116" s="784"/>
      <c r="X116" s="784"/>
      <c r="Y116" s="784"/>
      <c r="Z116" s="784"/>
      <c r="AA116" s="784"/>
      <c r="AB116" s="784"/>
      <c r="AC116" s="784"/>
      <c r="AD116" s="784"/>
      <c r="AE116" s="784"/>
      <c r="AF116" s="784"/>
      <c r="AG116" s="784"/>
      <c r="AH116" s="784"/>
      <c r="AI116" s="784"/>
      <c r="AJ116" s="784"/>
      <c r="AK116" s="784"/>
      <c r="AL116" s="784"/>
      <c r="AM116" s="784"/>
      <c r="AN116" s="784"/>
      <c r="AO116" s="784"/>
      <c r="AP116" s="784"/>
      <c r="AQ116" s="784"/>
      <c r="AR116" s="784"/>
      <c r="AS116" s="784"/>
      <c r="AT116" s="784"/>
      <c r="AU116" s="784"/>
      <c r="AV116" s="784"/>
      <c r="AW116" s="784"/>
      <c r="AX116" s="784"/>
      <c r="AY116" s="784"/>
      <c r="AZ116" s="784"/>
      <c r="BA116" s="784"/>
      <c r="BB116" s="784"/>
      <c r="BC116" s="784"/>
      <c r="BD116" s="784"/>
      <c r="BE116" s="784"/>
      <c r="BF116" s="784"/>
      <c r="BG116" s="784"/>
      <c r="BH116" s="784"/>
      <c r="BI116" s="784"/>
      <c r="BJ116" s="784"/>
      <c r="BK116" s="784"/>
      <c r="BL116" s="784"/>
      <c r="BM116" s="784"/>
      <c r="BN116" s="784"/>
      <c r="BO116" s="784"/>
      <c r="BP116" s="784"/>
      <c r="BQ116" s="784"/>
      <c r="BR116" s="784"/>
      <c r="BS116" s="784"/>
      <c r="BT116" s="784"/>
      <c r="BU116" s="784"/>
      <c r="BV116" s="784"/>
      <c r="BW116" s="784"/>
      <c r="BX116" s="784"/>
      <c r="BY116" s="784"/>
      <c r="BZ116" s="784"/>
    </row>
    <row r="117" spans="1:78" ht="14.25">
      <c r="A117" s="784"/>
      <c r="B117" s="784"/>
      <c r="C117" s="784"/>
      <c r="D117" s="784"/>
      <c r="E117" s="784"/>
      <c r="F117" s="784"/>
      <c r="G117" s="784"/>
      <c r="H117" s="784"/>
      <c r="I117" s="784"/>
      <c r="J117" s="784"/>
      <c r="K117" s="784"/>
      <c r="L117" s="784"/>
      <c r="M117" s="784"/>
      <c r="N117" s="784"/>
      <c r="O117" s="784"/>
      <c r="P117" s="784"/>
      <c r="Q117" s="784"/>
      <c r="R117" s="784"/>
      <c r="S117" s="784"/>
      <c r="T117" s="785"/>
      <c r="U117" s="784"/>
      <c r="V117" s="784"/>
      <c r="W117" s="784"/>
      <c r="X117" s="784"/>
      <c r="Y117" s="784"/>
      <c r="Z117" s="784"/>
      <c r="AA117" s="784"/>
      <c r="AB117" s="784"/>
      <c r="AC117" s="784"/>
      <c r="AD117" s="784"/>
      <c r="AE117" s="784"/>
      <c r="AF117" s="784"/>
      <c r="AG117" s="784"/>
      <c r="AH117" s="784"/>
      <c r="AI117" s="784"/>
      <c r="AJ117" s="784"/>
      <c r="AK117" s="784"/>
      <c r="AL117" s="784"/>
      <c r="AM117" s="784"/>
      <c r="AN117" s="784"/>
      <c r="AO117" s="784"/>
      <c r="AP117" s="784"/>
      <c r="AQ117" s="784"/>
      <c r="AR117" s="784"/>
      <c r="AS117" s="784"/>
      <c r="AT117" s="784"/>
      <c r="AU117" s="784"/>
      <c r="AV117" s="784"/>
      <c r="AW117" s="784"/>
      <c r="AX117" s="784"/>
      <c r="AY117" s="784"/>
      <c r="AZ117" s="784"/>
      <c r="BA117" s="784"/>
      <c r="BB117" s="784"/>
      <c r="BC117" s="784"/>
      <c r="BD117" s="784"/>
      <c r="BE117" s="784"/>
      <c r="BF117" s="784"/>
      <c r="BG117" s="784"/>
      <c r="BH117" s="784"/>
      <c r="BI117" s="784"/>
      <c r="BJ117" s="784"/>
      <c r="BK117" s="784"/>
      <c r="BL117" s="784"/>
      <c r="BM117" s="784"/>
      <c r="BN117" s="784"/>
      <c r="BO117" s="784"/>
      <c r="BP117" s="784"/>
      <c r="BQ117" s="784"/>
      <c r="BR117" s="784"/>
      <c r="BS117" s="784"/>
      <c r="BT117" s="784"/>
      <c r="BU117" s="784"/>
      <c r="BV117" s="784"/>
      <c r="BW117" s="784"/>
      <c r="BX117" s="784"/>
      <c r="BY117" s="784"/>
      <c r="BZ117" s="784"/>
    </row>
    <row r="118" spans="1:78" ht="14.25">
      <c r="A118" s="784"/>
      <c r="B118" s="784"/>
      <c r="C118" s="784"/>
      <c r="D118" s="784"/>
      <c r="E118" s="784"/>
      <c r="F118" s="784"/>
      <c r="G118" s="784"/>
      <c r="H118" s="784"/>
      <c r="I118" s="784"/>
      <c r="J118" s="784"/>
      <c r="K118" s="784"/>
      <c r="L118" s="784"/>
      <c r="M118" s="784"/>
      <c r="N118" s="784"/>
      <c r="O118" s="784"/>
      <c r="P118" s="784"/>
      <c r="Q118" s="784"/>
      <c r="R118" s="784"/>
      <c r="S118" s="784"/>
      <c r="T118" s="785"/>
      <c r="U118" s="784"/>
      <c r="V118" s="784"/>
      <c r="W118" s="784"/>
      <c r="X118" s="784"/>
      <c r="Y118" s="784"/>
      <c r="Z118" s="784"/>
      <c r="AA118" s="784"/>
      <c r="AB118" s="784"/>
      <c r="AC118" s="784"/>
      <c r="AD118" s="784"/>
      <c r="AE118" s="784"/>
      <c r="AF118" s="784"/>
      <c r="AG118" s="784"/>
      <c r="AH118" s="784"/>
      <c r="AI118" s="784"/>
      <c r="AJ118" s="784"/>
      <c r="AK118" s="784"/>
      <c r="AL118" s="784"/>
      <c r="AM118" s="784"/>
      <c r="AN118" s="784"/>
      <c r="AO118" s="784"/>
      <c r="AP118" s="784"/>
      <c r="AQ118" s="784"/>
      <c r="AR118" s="784"/>
      <c r="AS118" s="784"/>
      <c r="AT118" s="784"/>
      <c r="AU118" s="784"/>
      <c r="AV118" s="784"/>
      <c r="AW118" s="784"/>
      <c r="AX118" s="784"/>
      <c r="AY118" s="784"/>
      <c r="AZ118" s="784"/>
      <c r="BA118" s="784"/>
      <c r="BB118" s="784"/>
      <c r="BC118" s="784"/>
      <c r="BD118" s="784"/>
      <c r="BE118" s="784"/>
      <c r="BF118" s="784"/>
      <c r="BG118" s="784"/>
      <c r="BH118" s="784"/>
      <c r="BI118" s="784"/>
      <c r="BJ118" s="784"/>
      <c r="BK118" s="784"/>
      <c r="BL118" s="784"/>
      <c r="BM118" s="784"/>
      <c r="BN118" s="784"/>
      <c r="BO118" s="784"/>
      <c r="BP118" s="784"/>
      <c r="BQ118" s="784"/>
      <c r="BR118" s="784"/>
      <c r="BS118" s="784"/>
      <c r="BT118" s="784"/>
      <c r="BU118" s="784"/>
      <c r="BV118" s="784"/>
      <c r="BW118" s="784"/>
      <c r="BX118" s="784"/>
      <c r="BY118" s="784"/>
      <c r="BZ118" s="784"/>
    </row>
    <row r="119" spans="1:78" ht="14.25">
      <c r="A119" s="784"/>
      <c r="B119" s="784"/>
      <c r="C119" s="784"/>
      <c r="D119" s="784"/>
      <c r="E119" s="784"/>
      <c r="F119" s="784"/>
      <c r="G119" s="784"/>
      <c r="H119" s="784"/>
      <c r="I119" s="784"/>
      <c r="J119" s="784"/>
      <c r="K119" s="784"/>
      <c r="L119" s="784"/>
      <c r="M119" s="784"/>
      <c r="N119" s="784"/>
      <c r="O119" s="784"/>
      <c r="P119" s="784"/>
      <c r="Q119" s="784"/>
      <c r="R119" s="784"/>
      <c r="S119" s="784"/>
      <c r="T119" s="785"/>
      <c r="U119" s="784"/>
      <c r="V119" s="784"/>
      <c r="W119" s="784"/>
      <c r="X119" s="784"/>
      <c r="Y119" s="784"/>
      <c r="Z119" s="784"/>
      <c r="AA119" s="784"/>
      <c r="AB119" s="784"/>
      <c r="AC119" s="784"/>
      <c r="AD119" s="784"/>
      <c r="AE119" s="784"/>
      <c r="AF119" s="784"/>
      <c r="AG119" s="784"/>
      <c r="AH119" s="784"/>
      <c r="AI119" s="784"/>
      <c r="AJ119" s="784"/>
      <c r="AK119" s="784"/>
      <c r="AL119" s="784"/>
      <c r="AM119" s="784"/>
      <c r="AN119" s="784"/>
      <c r="AO119" s="784"/>
      <c r="AP119" s="784"/>
      <c r="AQ119" s="784"/>
      <c r="AR119" s="784"/>
      <c r="AS119" s="784"/>
      <c r="AT119" s="784"/>
      <c r="AU119" s="784"/>
      <c r="AV119" s="784"/>
      <c r="AW119" s="784"/>
      <c r="AX119" s="784"/>
      <c r="AY119" s="784"/>
      <c r="AZ119" s="784"/>
      <c r="BA119" s="784"/>
      <c r="BB119" s="784"/>
      <c r="BC119" s="784"/>
      <c r="BD119" s="784"/>
      <c r="BE119" s="784"/>
      <c r="BF119" s="784"/>
      <c r="BG119" s="784"/>
      <c r="BH119" s="784"/>
      <c r="BI119" s="784"/>
      <c r="BJ119" s="784"/>
      <c r="BK119" s="784"/>
      <c r="BL119" s="784"/>
      <c r="BM119" s="784"/>
      <c r="BN119" s="784"/>
      <c r="BO119" s="784"/>
      <c r="BP119" s="784"/>
      <c r="BQ119" s="784"/>
      <c r="BR119" s="784"/>
      <c r="BS119" s="784"/>
      <c r="BT119" s="784"/>
      <c r="BU119" s="784"/>
      <c r="BV119" s="784"/>
      <c r="BW119" s="784"/>
      <c r="BX119" s="784"/>
      <c r="BY119" s="784"/>
      <c r="BZ119" s="784"/>
    </row>
    <row r="120" spans="1:78" ht="14.25">
      <c r="A120" s="784"/>
      <c r="B120" s="784"/>
      <c r="C120" s="784"/>
      <c r="D120" s="784"/>
      <c r="E120" s="784"/>
      <c r="F120" s="784"/>
      <c r="G120" s="784"/>
      <c r="H120" s="784"/>
      <c r="I120" s="784"/>
      <c r="J120" s="784"/>
      <c r="K120" s="784"/>
      <c r="L120" s="784"/>
      <c r="M120" s="784"/>
      <c r="N120" s="784"/>
      <c r="O120" s="784"/>
      <c r="P120" s="784"/>
      <c r="Q120" s="784"/>
      <c r="R120" s="784"/>
      <c r="S120" s="784"/>
      <c r="T120" s="785"/>
      <c r="U120" s="784"/>
      <c r="V120" s="784"/>
      <c r="W120" s="784"/>
      <c r="X120" s="784"/>
      <c r="Y120" s="784"/>
      <c r="Z120" s="784"/>
      <c r="AA120" s="784"/>
      <c r="AB120" s="784"/>
      <c r="AC120" s="784"/>
      <c r="AD120" s="784"/>
      <c r="AE120" s="784"/>
      <c r="AF120" s="784"/>
      <c r="AG120" s="784"/>
      <c r="AH120" s="784"/>
      <c r="AI120" s="784"/>
      <c r="AJ120" s="784"/>
      <c r="AK120" s="784"/>
      <c r="AL120" s="784"/>
      <c r="AM120" s="784"/>
      <c r="AN120" s="784"/>
      <c r="AO120" s="784"/>
      <c r="AP120" s="784"/>
      <c r="AQ120" s="784"/>
      <c r="AR120" s="784"/>
      <c r="AS120" s="784"/>
      <c r="AT120" s="784"/>
      <c r="AU120" s="784"/>
      <c r="AV120" s="784"/>
      <c r="AW120" s="784"/>
      <c r="AX120" s="784"/>
      <c r="AY120" s="784"/>
      <c r="AZ120" s="784"/>
      <c r="BA120" s="784"/>
      <c r="BB120" s="784"/>
      <c r="BC120" s="784"/>
      <c r="BD120" s="784"/>
      <c r="BE120" s="784"/>
      <c r="BF120" s="784"/>
      <c r="BG120" s="784"/>
      <c r="BH120" s="784"/>
      <c r="BI120" s="784"/>
      <c r="BJ120" s="784"/>
      <c r="BK120" s="784"/>
      <c r="BL120" s="784"/>
      <c r="BM120" s="784"/>
      <c r="BN120" s="784"/>
      <c r="BO120" s="784"/>
      <c r="BP120" s="784"/>
      <c r="BQ120" s="784"/>
      <c r="BR120" s="784"/>
      <c r="BS120" s="784"/>
      <c r="BT120" s="784"/>
      <c r="BU120" s="784"/>
      <c r="BV120" s="784"/>
      <c r="BW120" s="784"/>
      <c r="BX120" s="784"/>
      <c r="BY120" s="784"/>
      <c r="BZ120" s="784"/>
    </row>
    <row r="121" spans="1:78" ht="14.25">
      <c r="A121" s="784"/>
      <c r="B121" s="784"/>
      <c r="C121" s="784"/>
      <c r="D121" s="784"/>
      <c r="E121" s="784"/>
      <c r="F121" s="784"/>
      <c r="G121" s="784"/>
      <c r="H121" s="784"/>
      <c r="I121" s="784"/>
      <c r="J121" s="784"/>
      <c r="K121" s="784"/>
      <c r="L121" s="784"/>
      <c r="M121" s="784"/>
      <c r="N121" s="784"/>
      <c r="O121" s="784"/>
      <c r="P121" s="784"/>
      <c r="Q121" s="784"/>
      <c r="R121" s="784"/>
      <c r="S121" s="784"/>
      <c r="T121" s="785"/>
      <c r="U121" s="784"/>
      <c r="V121" s="784"/>
      <c r="W121" s="784"/>
      <c r="X121" s="784"/>
      <c r="Y121" s="784"/>
      <c r="Z121" s="784"/>
      <c r="AA121" s="784"/>
      <c r="AB121" s="784"/>
      <c r="AC121" s="784"/>
      <c r="AD121" s="784"/>
      <c r="AE121" s="784"/>
      <c r="AF121" s="784"/>
      <c r="AG121" s="784"/>
      <c r="AH121" s="784"/>
      <c r="AI121" s="784"/>
      <c r="AJ121" s="784"/>
      <c r="AK121" s="784"/>
      <c r="AL121" s="784"/>
      <c r="AM121" s="784"/>
      <c r="AN121" s="784"/>
      <c r="AO121" s="784"/>
      <c r="AP121" s="784"/>
      <c r="AQ121" s="784"/>
      <c r="AR121" s="784"/>
      <c r="AS121" s="784"/>
      <c r="AT121" s="784"/>
      <c r="AU121" s="784"/>
      <c r="AV121" s="784"/>
      <c r="AW121" s="784"/>
      <c r="AX121" s="784"/>
      <c r="AY121" s="784"/>
      <c r="AZ121" s="784"/>
      <c r="BA121" s="784"/>
      <c r="BB121" s="784"/>
      <c r="BC121" s="784"/>
      <c r="BD121" s="784"/>
      <c r="BE121" s="784"/>
      <c r="BF121" s="784"/>
      <c r="BG121" s="784"/>
      <c r="BH121" s="784"/>
      <c r="BI121" s="784"/>
      <c r="BJ121" s="784"/>
      <c r="BK121" s="784"/>
      <c r="BL121" s="784"/>
      <c r="BM121" s="784"/>
      <c r="BN121" s="784"/>
      <c r="BO121" s="784"/>
      <c r="BP121" s="784"/>
      <c r="BQ121" s="784"/>
      <c r="BR121" s="784"/>
      <c r="BS121" s="784"/>
      <c r="BT121" s="784"/>
      <c r="BU121" s="784"/>
      <c r="BV121" s="784"/>
      <c r="BW121" s="784"/>
      <c r="BX121" s="784"/>
      <c r="BY121" s="784"/>
      <c r="BZ121" s="784"/>
    </row>
    <row r="122" spans="1:78" ht="14.25">
      <c r="A122" s="784"/>
      <c r="B122" s="784"/>
      <c r="C122" s="784"/>
      <c r="D122" s="784"/>
      <c r="E122" s="784"/>
      <c r="F122" s="784"/>
      <c r="G122" s="784"/>
      <c r="H122" s="784"/>
      <c r="I122" s="784"/>
      <c r="J122" s="784"/>
      <c r="K122" s="784"/>
      <c r="L122" s="784"/>
      <c r="M122" s="784"/>
      <c r="N122" s="784"/>
      <c r="O122" s="784"/>
      <c r="P122" s="784"/>
      <c r="Q122" s="784"/>
      <c r="R122" s="784"/>
      <c r="S122" s="784"/>
      <c r="T122" s="785"/>
      <c r="U122" s="784"/>
      <c r="V122" s="784"/>
      <c r="W122" s="784"/>
      <c r="X122" s="784"/>
      <c r="Y122" s="784"/>
      <c r="Z122" s="784"/>
      <c r="AA122" s="784"/>
      <c r="AB122" s="784"/>
      <c r="AC122" s="784"/>
      <c r="AD122" s="784"/>
      <c r="AE122" s="784"/>
      <c r="AF122" s="784"/>
      <c r="AG122" s="784"/>
      <c r="AH122" s="784"/>
      <c r="AI122" s="784"/>
      <c r="AJ122" s="784"/>
      <c r="AK122" s="784"/>
      <c r="AL122" s="784"/>
      <c r="AM122" s="784"/>
      <c r="AN122" s="784"/>
      <c r="AO122" s="784"/>
      <c r="AP122" s="784"/>
      <c r="AQ122" s="784"/>
      <c r="AR122" s="784"/>
      <c r="AS122" s="784"/>
      <c r="AT122" s="784"/>
      <c r="AU122" s="784"/>
      <c r="AV122" s="784"/>
      <c r="AW122" s="784"/>
      <c r="AX122" s="784"/>
      <c r="AY122" s="784"/>
      <c r="AZ122" s="784"/>
      <c r="BA122" s="784"/>
      <c r="BB122" s="784"/>
      <c r="BC122" s="784"/>
      <c r="BD122" s="784"/>
      <c r="BE122" s="784"/>
      <c r="BF122" s="784"/>
      <c r="BG122" s="784"/>
      <c r="BH122" s="784"/>
      <c r="BI122" s="784"/>
      <c r="BJ122" s="784"/>
      <c r="BK122" s="784"/>
      <c r="BL122" s="784"/>
      <c r="BM122" s="784"/>
      <c r="BN122" s="784"/>
      <c r="BO122" s="784"/>
      <c r="BP122" s="784"/>
      <c r="BQ122" s="784"/>
      <c r="BR122" s="784"/>
      <c r="BS122" s="784"/>
      <c r="BT122" s="784"/>
      <c r="BU122" s="784"/>
      <c r="BV122" s="784"/>
      <c r="BW122" s="784"/>
      <c r="BX122" s="784"/>
      <c r="BY122" s="784"/>
      <c r="BZ122" s="784"/>
    </row>
    <row r="123" spans="1:78" ht="14.25">
      <c r="A123" s="784"/>
      <c r="B123" s="784"/>
      <c r="C123" s="784"/>
      <c r="D123" s="784"/>
      <c r="E123" s="784"/>
      <c r="F123" s="784"/>
      <c r="G123" s="784"/>
      <c r="H123" s="784"/>
      <c r="I123" s="784"/>
      <c r="J123" s="784"/>
      <c r="K123" s="784"/>
      <c r="L123" s="784"/>
      <c r="M123" s="784"/>
      <c r="N123" s="784"/>
      <c r="O123" s="784"/>
      <c r="P123" s="784"/>
      <c r="Q123" s="784"/>
      <c r="R123" s="784"/>
      <c r="S123" s="784"/>
      <c r="T123" s="785"/>
      <c r="U123" s="784"/>
      <c r="V123" s="784"/>
      <c r="W123" s="784"/>
      <c r="X123" s="784"/>
      <c r="Y123" s="784"/>
      <c r="Z123" s="784"/>
      <c r="AA123" s="784"/>
      <c r="AB123" s="784"/>
      <c r="AC123" s="784"/>
      <c r="AD123" s="784"/>
      <c r="AE123" s="784"/>
      <c r="AF123" s="784"/>
      <c r="AG123" s="784"/>
      <c r="AH123" s="784"/>
      <c r="AI123" s="784"/>
      <c r="AJ123" s="784"/>
      <c r="AK123" s="784"/>
      <c r="AL123" s="784"/>
      <c r="AM123" s="784"/>
      <c r="AN123" s="784"/>
      <c r="AO123" s="784"/>
      <c r="AP123" s="784"/>
      <c r="AQ123" s="784"/>
      <c r="AR123" s="784"/>
      <c r="AS123" s="784"/>
      <c r="AT123" s="784"/>
      <c r="AU123" s="784"/>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4"/>
      <c r="BQ123" s="784"/>
      <c r="BR123" s="784"/>
      <c r="BS123" s="784"/>
      <c r="BT123" s="784"/>
      <c r="BU123" s="784"/>
      <c r="BV123" s="784"/>
      <c r="BW123" s="784"/>
      <c r="BX123" s="784"/>
      <c r="BY123" s="784"/>
      <c r="BZ123" s="784"/>
    </row>
    <row r="124" spans="1:78" ht="14.25">
      <c r="A124" s="784"/>
      <c r="B124" s="784"/>
      <c r="C124" s="784"/>
      <c r="D124" s="784"/>
      <c r="E124" s="784"/>
      <c r="F124" s="784"/>
      <c r="G124" s="784"/>
      <c r="H124" s="784"/>
      <c r="I124" s="784"/>
      <c r="J124" s="784"/>
      <c r="K124" s="784"/>
      <c r="L124" s="784"/>
      <c r="M124" s="784"/>
      <c r="N124" s="784"/>
      <c r="O124" s="784"/>
      <c r="P124" s="784"/>
      <c r="Q124" s="784"/>
      <c r="R124" s="784"/>
      <c r="S124" s="784"/>
      <c r="T124" s="785"/>
      <c r="U124" s="784"/>
      <c r="V124" s="784"/>
      <c r="W124" s="784"/>
      <c r="X124" s="784"/>
      <c r="Y124" s="784"/>
      <c r="Z124" s="784"/>
      <c r="AA124" s="784"/>
      <c r="AB124" s="784"/>
      <c r="AC124" s="784"/>
      <c r="AD124" s="784"/>
      <c r="AE124" s="784"/>
      <c r="AF124" s="784"/>
      <c r="AG124" s="784"/>
      <c r="AH124" s="784"/>
      <c r="AI124" s="784"/>
      <c r="AJ124" s="784"/>
      <c r="AK124" s="784"/>
      <c r="AL124" s="784"/>
      <c r="AM124" s="784"/>
      <c r="AN124" s="784"/>
      <c r="AO124" s="784"/>
      <c r="AP124" s="784"/>
      <c r="AQ124" s="784"/>
      <c r="AR124" s="784"/>
      <c r="AS124" s="784"/>
      <c r="AT124" s="784"/>
      <c r="AU124" s="784"/>
      <c r="AV124" s="784"/>
      <c r="AW124" s="784"/>
      <c r="AX124" s="784"/>
      <c r="AY124" s="784"/>
      <c r="AZ124" s="784"/>
      <c r="BA124" s="784"/>
      <c r="BB124" s="784"/>
      <c r="BC124" s="784"/>
      <c r="BD124" s="784"/>
      <c r="BE124" s="784"/>
      <c r="BF124" s="784"/>
      <c r="BG124" s="784"/>
      <c r="BH124" s="784"/>
      <c r="BI124" s="784"/>
      <c r="BJ124" s="784"/>
      <c r="BK124" s="784"/>
      <c r="BL124" s="784"/>
      <c r="BM124" s="784"/>
      <c r="BN124" s="784"/>
      <c r="BO124" s="784"/>
      <c r="BP124" s="784"/>
      <c r="BQ124" s="784"/>
      <c r="BR124" s="784"/>
      <c r="BS124" s="784"/>
      <c r="BT124" s="784"/>
      <c r="BU124" s="784"/>
      <c r="BV124" s="784"/>
      <c r="BW124" s="784"/>
      <c r="BX124" s="784"/>
      <c r="BY124" s="784"/>
      <c r="BZ124" s="784"/>
    </row>
    <row r="125" spans="1:78" ht="14.25">
      <c r="A125" s="784"/>
      <c r="B125" s="784"/>
      <c r="C125" s="784"/>
      <c r="D125" s="784"/>
      <c r="E125" s="784"/>
      <c r="F125" s="784"/>
      <c r="G125" s="784"/>
      <c r="H125" s="784"/>
      <c r="I125" s="784"/>
      <c r="J125" s="784"/>
      <c r="K125" s="784"/>
      <c r="L125" s="784"/>
      <c r="M125" s="784"/>
      <c r="N125" s="784"/>
      <c r="O125" s="784"/>
      <c r="P125" s="784"/>
      <c r="Q125" s="784"/>
      <c r="R125" s="784"/>
      <c r="S125" s="784"/>
      <c r="T125" s="785"/>
      <c r="U125" s="784"/>
      <c r="V125" s="784"/>
      <c r="W125" s="784"/>
      <c r="X125" s="784"/>
      <c r="Y125" s="784"/>
      <c r="Z125" s="784"/>
      <c r="AA125" s="784"/>
      <c r="AB125" s="784"/>
      <c r="AC125" s="784"/>
      <c r="AD125" s="784"/>
      <c r="AE125" s="784"/>
      <c r="AF125" s="784"/>
      <c r="AG125" s="784"/>
      <c r="AH125" s="784"/>
      <c r="AI125" s="784"/>
      <c r="AJ125" s="784"/>
      <c r="AK125" s="784"/>
      <c r="AL125" s="784"/>
      <c r="AM125" s="784"/>
      <c r="AN125" s="784"/>
      <c r="AO125" s="784"/>
      <c r="AP125" s="784"/>
      <c r="AQ125" s="784"/>
      <c r="AR125" s="784"/>
      <c r="AS125" s="784"/>
      <c r="AT125" s="784"/>
      <c r="AU125" s="784"/>
      <c r="AV125" s="784"/>
      <c r="AW125" s="784"/>
      <c r="AX125" s="784"/>
      <c r="AY125" s="784"/>
      <c r="AZ125" s="784"/>
      <c r="BA125" s="784"/>
      <c r="BB125" s="784"/>
      <c r="BC125" s="784"/>
      <c r="BD125" s="784"/>
      <c r="BE125" s="784"/>
      <c r="BF125" s="784"/>
      <c r="BG125" s="784"/>
      <c r="BH125" s="784"/>
      <c r="BI125" s="784"/>
      <c r="BJ125" s="784"/>
      <c r="BK125" s="784"/>
      <c r="BL125" s="784"/>
      <c r="BM125" s="784"/>
      <c r="BN125" s="784"/>
      <c r="BO125" s="784"/>
      <c r="BP125" s="784"/>
      <c r="BQ125" s="784"/>
      <c r="BR125" s="784"/>
      <c r="BS125" s="784"/>
      <c r="BT125" s="784"/>
      <c r="BU125" s="784"/>
      <c r="BV125" s="784"/>
      <c r="BW125" s="784"/>
      <c r="BX125" s="784"/>
      <c r="BY125" s="784"/>
      <c r="BZ125" s="784"/>
    </row>
    <row r="126" spans="1:78" ht="14.25">
      <c r="A126" s="784"/>
      <c r="B126" s="784"/>
      <c r="C126" s="784"/>
      <c r="D126" s="784"/>
      <c r="E126" s="784"/>
      <c r="F126" s="784"/>
      <c r="G126" s="784"/>
      <c r="H126" s="784"/>
      <c r="I126" s="784"/>
      <c r="J126" s="784"/>
      <c r="K126" s="784"/>
      <c r="L126" s="784"/>
      <c r="M126" s="784"/>
      <c r="N126" s="784"/>
      <c r="O126" s="784"/>
      <c r="P126" s="784"/>
      <c r="Q126" s="784"/>
      <c r="R126" s="784"/>
      <c r="S126" s="784"/>
      <c r="T126" s="785"/>
      <c r="U126" s="784"/>
      <c r="V126" s="784"/>
      <c r="W126" s="784"/>
      <c r="X126" s="784"/>
      <c r="Y126" s="784"/>
      <c r="Z126" s="784"/>
      <c r="AA126" s="784"/>
      <c r="AB126" s="784"/>
      <c r="AC126" s="784"/>
      <c r="AD126" s="784"/>
      <c r="AE126" s="784"/>
      <c r="AF126" s="784"/>
      <c r="AG126" s="784"/>
      <c r="AH126" s="784"/>
      <c r="AI126" s="784"/>
      <c r="AJ126" s="784"/>
      <c r="AK126" s="784"/>
      <c r="AL126" s="784"/>
      <c r="AM126" s="784"/>
      <c r="AN126" s="784"/>
      <c r="AO126" s="784"/>
      <c r="AP126" s="784"/>
      <c r="AQ126" s="784"/>
      <c r="AR126" s="784"/>
      <c r="AS126" s="784"/>
      <c r="AT126" s="784"/>
      <c r="AU126" s="784"/>
      <c r="AV126" s="784"/>
      <c r="AW126" s="784"/>
      <c r="AX126" s="784"/>
      <c r="AY126" s="784"/>
      <c r="AZ126" s="784"/>
      <c r="BA126" s="784"/>
      <c r="BB126" s="784"/>
      <c r="BC126" s="784"/>
      <c r="BD126" s="784"/>
      <c r="BE126" s="784"/>
      <c r="BF126" s="784"/>
      <c r="BG126" s="784"/>
      <c r="BH126" s="784"/>
      <c r="BI126" s="784"/>
      <c r="BJ126" s="784"/>
      <c r="BK126" s="784"/>
      <c r="BL126" s="784"/>
      <c r="BM126" s="784"/>
      <c r="BN126" s="784"/>
      <c r="BO126" s="784"/>
      <c r="BP126" s="784"/>
      <c r="BQ126" s="784"/>
      <c r="BR126" s="784"/>
      <c r="BS126" s="784"/>
      <c r="BT126" s="784"/>
      <c r="BU126" s="784"/>
      <c r="BV126" s="784"/>
      <c r="BW126" s="784"/>
      <c r="BX126" s="784"/>
      <c r="BY126" s="784"/>
      <c r="BZ126" s="784"/>
    </row>
    <row r="127" spans="1:78" ht="14.25">
      <c r="A127" s="784"/>
      <c r="B127" s="784"/>
      <c r="C127" s="784"/>
      <c r="D127" s="784"/>
      <c r="E127" s="784"/>
      <c r="F127" s="784"/>
      <c r="G127" s="784"/>
      <c r="H127" s="784"/>
      <c r="I127" s="784"/>
      <c r="J127" s="784"/>
      <c r="K127" s="784"/>
      <c r="L127" s="784"/>
      <c r="M127" s="784"/>
      <c r="N127" s="784"/>
      <c r="O127" s="784"/>
      <c r="P127" s="784"/>
      <c r="Q127" s="784"/>
      <c r="R127" s="784"/>
      <c r="S127" s="784"/>
      <c r="T127" s="785"/>
      <c r="U127" s="784"/>
      <c r="V127" s="784"/>
      <c r="W127" s="784"/>
      <c r="X127" s="784"/>
      <c r="Y127" s="784"/>
      <c r="Z127" s="784"/>
      <c r="AA127" s="784"/>
      <c r="AB127" s="784"/>
      <c r="AC127" s="784"/>
      <c r="AD127" s="784"/>
      <c r="AE127" s="784"/>
      <c r="AF127" s="784"/>
      <c r="AG127" s="784"/>
      <c r="AH127" s="784"/>
      <c r="AI127" s="784"/>
      <c r="AJ127" s="784"/>
      <c r="AK127" s="784"/>
      <c r="AL127" s="784"/>
      <c r="AM127" s="784"/>
      <c r="AN127" s="784"/>
      <c r="AO127" s="784"/>
      <c r="AP127" s="784"/>
      <c r="AQ127" s="784"/>
      <c r="AR127" s="784"/>
      <c r="AS127" s="784"/>
      <c r="AT127" s="784"/>
      <c r="AU127" s="784"/>
      <c r="AV127" s="784"/>
      <c r="AW127" s="784"/>
      <c r="AX127" s="784"/>
      <c r="AY127" s="784"/>
      <c r="AZ127" s="784"/>
      <c r="BA127" s="784"/>
      <c r="BB127" s="784"/>
      <c r="BC127" s="784"/>
      <c r="BD127" s="784"/>
      <c r="BE127" s="784"/>
      <c r="BF127" s="784"/>
      <c r="BG127" s="784"/>
      <c r="BH127" s="784"/>
      <c r="BI127" s="784"/>
      <c r="BJ127" s="784"/>
      <c r="BK127" s="784"/>
      <c r="BL127" s="784"/>
      <c r="BM127" s="784"/>
      <c r="BN127" s="784"/>
      <c r="BO127" s="784"/>
      <c r="BP127" s="784"/>
      <c r="BQ127" s="784"/>
      <c r="BR127" s="784"/>
      <c r="BS127" s="784"/>
      <c r="BT127" s="784"/>
      <c r="BU127" s="784"/>
      <c r="BV127" s="784"/>
      <c r="BW127" s="784"/>
      <c r="BX127" s="784"/>
      <c r="BY127" s="784"/>
      <c r="BZ127" s="784"/>
    </row>
    <row r="128" spans="1:78" ht="14.25">
      <c r="A128" s="784"/>
      <c r="B128" s="784"/>
      <c r="C128" s="784"/>
      <c r="D128" s="784"/>
      <c r="E128" s="784"/>
      <c r="F128" s="784"/>
      <c r="G128" s="784"/>
      <c r="H128" s="784"/>
      <c r="I128" s="784"/>
      <c r="J128" s="784"/>
      <c r="K128" s="784"/>
      <c r="L128" s="784"/>
      <c r="M128" s="784"/>
      <c r="N128" s="784"/>
      <c r="O128" s="784"/>
      <c r="P128" s="784"/>
      <c r="Q128" s="784"/>
      <c r="R128" s="784"/>
      <c r="S128" s="784"/>
      <c r="T128" s="785"/>
      <c r="U128" s="784"/>
      <c r="V128" s="784"/>
      <c r="W128" s="784"/>
      <c r="X128" s="784"/>
      <c r="Y128" s="784"/>
      <c r="Z128" s="784"/>
      <c r="AA128" s="784"/>
      <c r="AB128" s="784"/>
      <c r="AC128" s="784"/>
      <c r="AD128" s="784"/>
      <c r="AE128" s="784"/>
      <c r="AF128" s="784"/>
      <c r="AG128" s="784"/>
      <c r="AH128" s="784"/>
      <c r="AI128" s="784"/>
      <c r="AJ128" s="784"/>
      <c r="AK128" s="784"/>
      <c r="AL128" s="784"/>
      <c r="AM128" s="784"/>
      <c r="AN128" s="784"/>
      <c r="AO128" s="784"/>
      <c r="AP128" s="784"/>
      <c r="AQ128" s="784"/>
      <c r="AR128" s="784"/>
      <c r="AS128" s="784"/>
      <c r="AT128" s="784"/>
      <c r="AU128" s="784"/>
      <c r="AV128" s="784"/>
      <c r="AW128" s="784"/>
      <c r="AX128" s="784"/>
      <c r="AY128" s="784"/>
      <c r="AZ128" s="784"/>
      <c r="BA128" s="784"/>
      <c r="BB128" s="784"/>
      <c r="BC128" s="784"/>
      <c r="BD128" s="784"/>
      <c r="BE128" s="784"/>
      <c r="BF128" s="784"/>
      <c r="BG128" s="784"/>
      <c r="BH128" s="784"/>
      <c r="BI128" s="784"/>
      <c r="BJ128" s="784"/>
      <c r="BK128" s="784"/>
      <c r="BL128" s="784"/>
      <c r="BM128" s="784"/>
      <c r="BN128" s="784"/>
      <c r="BO128" s="784"/>
      <c r="BP128" s="784"/>
      <c r="BQ128" s="784"/>
      <c r="BR128" s="784"/>
      <c r="BS128" s="784"/>
      <c r="BT128" s="784"/>
      <c r="BU128" s="784"/>
      <c r="BV128" s="784"/>
      <c r="BW128" s="784"/>
      <c r="BX128" s="784"/>
      <c r="BY128" s="784"/>
      <c r="BZ128" s="784"/>
    </row>
    <row r="129" spans="1:78" ht="14.25">
      <c r="A129" s="784"/>
      <c r="B129" s="784"/>
      <c r="C129" s="784"/>
      <c r="D129" s="784"/>
      <c r="E129" s="784"/>
      <c r="F129" s="784"/>
      <c r="G129" s="784"/>
      <c r="H129" s="784"/>
      <c r="I129" s="784"/>
      <c r="J129" s="784"/>
      <c r="K129" s="784"/>
      <c r="L129" s="784"/>
      <c r="M129" s="784"/>
      <c r="N129" s="784"/>
      <c r="O129" s="784"/>
      <c r="P129" s="784"/>
      <c r="Q129" s="784"/>
      <c r="R129" s="784"/>
      <c r="S129" s="784"/>
      <c r="T129" s="785"/>
      <c r="U129" s="784"/>
      <c r="V129" s="784"/>
      <c r="W129" s="784"/>
      <c r="X129" s="784"/>
      <c r="Y129" s="784"/>
      <c r="Z129" s="784"/>
      <c r="AA129" s="784"/>
      <c r="AB129" s="784"/>
      <c r="AC129" s="784"/>
      <c r="AD129" s="784"/>
      <c r="AE129" s="784"/>
      <c r="AF129" s="784"/>
      <c r="AG129" s="784"/>
      <c r="AH129" s="784"/>
      <c r="AI129" s="784"/>
      <c r="AJ129" s="784"/>
      <c r="AK129" s="784"/>
      <c r="AL129" s="784"/>
      <c r="AM129" s="784"/>
      <c r="AN129" s="784"/>
      <c r="AO129" s="784"/>
      <c r="AP129" s="784"/>
      <c r="AQ129" s="784"/>
      <c r="AR129" s="784"/>
      <c r="AS129" s="784"/>
      <c r="AT129" s="784"/>
      <c r="AU129" s="784"/>
      <c r="AV129" s="784"/>
      <c r="AW129" s="784"/>
      <c r="AX129" s="784"/>
      <c r="AY129" s="784"/>
      <c r="AZ129" s="784"/>
      <c r="BA129" s="784"/>
      <c r="BB129" s="784"/>
      <c r="BC129" s="784"/>
      <c r="BD129" s="784"/>
      <c r="BE129" s="784"/>
      <c r="BF129" s="784"/>
      <c r="BG129" s="784"/>
      <c r="BH129" s="784"/>
      <c r="BI129" s="784"/>
      <c r="BJ129" s="784"/>
      <c r="BK129" s="784"/>
      <c r="BL129" s="784"/>
      <c r="BM129" s="784"/>
      <c r="BN129" s="784"/>
      <c r="BO129" s="784"/>
      <c r="BP129" s="784"/>
      <c r="BQ129" s="784"/>
      <c r="BR129" s="784"/>
      <c r="BS129" s="784"/>
      <c r="BT129" s="784"/>
      <c r="BU129" s="784"/>
      <c r="BV129" s="784"/>
      <c r="BW129" s="784"/>
      <c r="BX129" s="784"/>
      <c r="BY129" s="784"/>
      <c r="BZ129" s="784"/>
    </row>
    <row r="130" spans="1:78" ht="14.25">
      <c r="A130" s="784"/>
      <c r="B130" s="784"/>
      <c r="C130" s="784"/>
      <c r="D130" s="784"/>
      <c r="E130" s="784"/>
      <c r="F130" s="784"/>
      <c r="G130" s="784"/>
      <c r="H130" s="784"/>
      <c r="I130" s="784"/>
      <c r="J130" s="784"/>
      <c r="K130" s="784"/>
      <c r="L130" s="784"/>
      <c r="M130" s="784"/>
      <c r="N130" s="784"/>
      <c r="O130" s="784"/>
      <c r="P130" s="784"/>
      <c r="Q130" s="784"/>
      <c r="R130" s="784"/>
      <c r="S130" s="784"/>
      <c r="T130" s="785"/>
      <c r="U130" s="784"/>
      <c r="V130" s="784"/>
      <c r="W130" s="784"/>
      <c r="X130" s="784"/>
      <c r="Y130" s="784"/>
      <c r="Z130" s="784"/>
      <c r="AA130" s="784"/>
      <c r="AB130" s="784"/>
      <c r="AC130" s="784"/>
      <c r="AD130" s="784"/>
      <c r="AE130" s="784"/>
      <c r="AF130" s="784"/>
      <c r="AG130" s="784"/>
      <c r="AH130" s="784"/>
      <c r="AI130" s="784"/>
      <c r="AJ130" s="784"/>
      <c r="AK130" s="784"/>
      <c r="AL130" s="784"/>
      <c r="AM130" s="784"/>
      <c r="AN130" s="784"/>
      <c r="AO130" s="784"/>
      <c r="AP130" s="784"/>
      <c r="AQ130" s="784"/>
      <c r="AR130" s="784"/>
      <c r="AS130" s="784"/>
      <c r="AT130" s="784"/>
      <c r="AU130" s="784"/>
      <c r="AV130" s="784"/>
      <c r="AW130" s="784"/>
      <c r="AX130" s="784"/>
      <c r="AY130" s="784"/>
      <c r="AZ130" s="784"/>
      <c r="BA130" s="784"/>
      <c r="BB130" s="784"/>
      <c r="BC130" s="784"/>
      <c r="BD130" s="784"/>
      <c r="BE130" s="784"/>
      <c r="BF130" s="784"/>
      <c r="BG130" s="784"/>
      <c r="BH130" s="784"/>
      <c r="BI130" s="784"/>
      <c r="BJ130" s="784"/>
      <c r="BK130" s="784"/>
      <c r="BL130" s="784"/>
      <c r="BM130" s="784"/>
      <c r="BN130" s="784"/>
      <c r="BO130" s="784"/>
      <c r="BP130" s="784"/>
      <c r="BQ130" s="784"/>
      <c r="BR130" s="784"/>
      <c r="BS130" s="784"/>
      <c r="BT130" s="784"/>
      <c r="BU130" s="784"/>
      <c r="BV130" s="784"/>
      <c r="BW130" s="784"/>
      <c r="BX130" s="784"/>
      <c r="BY130" s="784"/>
      <c r="BZ130" s="784"/>
    </row>
    <row r="131" spans="1:78" ht="14.25">
      <c r="A131" s="784"/>
      <c r="B131" s="784"/>
      <c r="C131" s="784"/>
      <c r="D131" s="784"/>
      <c r="E131" s="784"/>
      <c r="F131" s="784"/>
      <c r="G131" s="784"/>
      <c r="H131" s="784"/>
      <c r="I131" s="784"/>
      <c r="J131" s="784"/>
      <c r="K131" s="784"/>
      <c r="L131" s="784"/>
      <c r="M131" s="784"/>
      <c r="N131" s="784"/>
      <c r="O131" s="784"/>
      <c r="P131" s="784"/>
      <c r="Q131" s="784"/>
      <c r="R131" s="784"/>
      <c r="S131" s="784"/>
      <c r="T131" s="785"/>
      <c r="U131" s="784"/>
      <c r="V131" s="784"/>
      <c r="W131" s="784"/>
      <c r="X131" s="784"/>
      <c r="Y131" s="784"/>
      <c r="Z131" s="784"/>
      <c r="AA131" s="784"/>
      <c r="AB131" s="784"/>
      <c r="AC131" s="784"/>
      <c r="AD131" s="784"/>
      <c r="AE131" s="784"/>
      <c r="AF131" s="784"/>
      <c r="AG131" s="784"/>
      <c r="AH131" s="784"/>
      <c r="AI131" s="784"/>
      <c r="AJ131" s="784"/>
      <c r="AK131" s="784"/>
      <c r="AL131" s="784"/>
      <c r="AM131" s="784"/>
      <c r="AN131" s="784"/>
      <c r="AO131" s="784"/>
      <c r="AP131" s="784"/>
      <c r="AQ131" s="784"/>
      <c r="AR131" s="784"/>
      <c r="AS131" s="784"/>
      <c r="AT131" s="784"/>
      <c r="AU131" s="784"/>
      <c r="AV131" s="784"/>
      <c r="AW131" s="784"/>
      <c r="AX131" s="784"/>
      <c r="AY131" s="784"/>
      <c r="AZ131" s="784"/>
      <c r="BA131" s="784"/>
      <c r="BB131" s="784"/>
      <c r="BC131" s="784"/>
      <c r="BD131" s="784"/>
      <c r="BE131" s="784"/>
      <c r="BF131" s="784"/>
      <c r="BG131" s="784"/>
      <c r="BH131" s="784"/>
      <c r="BI131" s="784"/>
      <c r="BJ131" s="784"/>
      <c r="BK131" s="784"/>
      <c r="BL131" s="784"/>
      <c r="BM131" s="784"/>
      <c r="BN131" s="784"/>
      <c r="BO131" s="784"/>
      <c r="BP131" s="784"/>
      <c r="BQ131" s="784"/>
      <c r="BR131" s="784"/>
      <c r="BS131" s="784"/>
      <c r="BT131" s="784"/>
      <c r="BU131" s="784"/>
      <c r="BV131" s="784"/>
      <c r="BW131" s="784"/>
      <c r="BX131" s="784"/>
      <c r="BY131" s="784"/>
      <c r="BZ131" s="784"/>
    </row>
    <row r="132" spans="1:78" ht="14.25">
      <c r="A132" s="784"/>
      <c r="B132" s="784"/>
      <c r="C132" s="784"/>
      <c r="D132" s="784"/>
      <c r="E132" s="784"/>
      <c r="F132" s="784"/>
      <c r="G132" s="784"/>
      <c r="H132" s="784"/>
      <c r="I132" s="784"/>
      <c r="J132" s="784"/>
      <c r="K132" s="784"/>
      <c r="L132" s="784"/>
      <c r="M132" s="784"/>
      <c r="N132" s="784"/>
      <c r="O132" s="784"/>
      <c r="P132" s="784"/>
      <c r="Q132" s="784"/>
      <c r="R132" s="784"/>
      <c r="S132" s="784"/>
      <c r="T132" s="785"/>
      <c r="U132" s="784"/>
      <c r="V132" s="784"/>
      <c r="W132" s="784"/>
      <c r="X132" s="784"/>
      <c r="Y132" s="784"/>
      <c r="Z132" s="784"/>
      <c r="AA132" s="784"/>
      <c r="AB132" s="784"/>
      <c r="AC132" s="784"/>
      <c r="AD132" s="784"/>
      <c r="AE132" s="784"/>
      <c r="AF132" s="784"/>
      <c r="AG132" s="784"/>
      <c r="AH132" s="784"/>
      <c r="AI132" s="784"/>
      <c r="AJ132" s="784"/>
      <c r="AK132" s="784"/>
      <c r="AL132" s="784"/>
      <c r="AM132" s="784"/>
      <c r="AN132" s="784"/>
      <c r="AO132" s="784"/>
      <c r="AP132" s="784"/>
      <c r="AQ132" s="784"/>
      <c r="AR132" s="784"/>
      <c r="AS132" s="784"/>
      <c r="AT132" s="784"/>
      <c r="AU132" s="784"/>
      <c r="AV132" s="784"/>
      <c r="AW132" s="784"/>
      <c r="AX132" s="784"/>
      <c r="AY132" s="784"/>
      <c r="AZ132" s="784"/>
      <c r="BA132" s="784"/>
      <c r="BB132" s="784"/>
      <c r="BC132" s="784"/>
      <c r="BD132" s="971"/>
      <c r="BE132" s="971"/>
      <c r="BF132" s="784"/>
      <c r="BG132" s="784"/>
      <c r="BH132" s="784"/>
      <c r="BI132" s="784"/>
      <c r="BJ132" s="784"/>
      <c r="BK132" s="784"/>
      <c r="BL132" s="784"/>
      <c r="BM132" s="784"/>
      <c r="BN132" s="784"/>
      <c r="BO132" s="784"/>
      <c r="BP132" s="784"/>
      <c r="BQ132" s="784"/>
      <c r="BR132" s="784"/>
      <c r="BS132" s="784"/>
      <c r="BT132" s="784"/>
      <c r="BU132" s="784"/>
      <c r="BV132" s="784"/>
      <c r="BW132" s="784"/>
      <c r="BX132" s="784"/>
      <c r="BY132" s="784"/>
      <c r="BZ132" s="784"/>
    </row>
    <row r="133" ht="14.25" hidden="1"/>
    <row r="134" spans="47:48" ht="14.25" hidden="1">
      <c r="AU134" s="188">
        <f aca="true" t="shared" si="0" ref="AU134:AU145">IF(BO280=AU$148,AY$148,IF(BO280=AU$149,AY$149,IF(BO280=AU$150,AY$150,0)))</f>
        <v>0</v>
      </c>
      <c r="AV134" s="189">
        <f>IF(BO280=AU$148,AZ$148,IF(BO280=AU$149,AZ$149,IF(BO280=AU$150,AZ$150,0)))</f>
        <v>0</v>
      </c>
    </row>
    <row r="135" spans="47:48" ht="14.25" hidden="1">
      <c r="AU135" s="190">
        <f t="shared" si="0"/>
        <v>0</v>
      </c>
      <c r="AV135" s="191">
        <f aca="true" t="shared" si="1" ref="AV135:AV145">IF(BO281=AU$148,AZ$148,IF(BO281=AU$149,AZ$149,IF(BO281=AU$150,AZ$150,0)))</f>
        <v>0</v>
      </c>
    </row>
    <row r="136" spans="47:48" ht="14.25" hidden="1">
      <c r="AU136" s="190">
        <f t="shared" si="0"/>
        <v>0</v>
      </c>
      <c r="AV136" s="191">
        <f t="shared" si="1"/>
        <v>0</v>
      </c>
    </row>
    <row r="137" spans="47:48" ht="14.25" hidden="1">
      <c r="AU137" s="190">
        <f t="shared" si="0"/>
        <v>0</v>
      </c>
      <c r="AV137" s="191">
        <f t="shared" si="1"/>
        <v>0</v>
      </c>
    </row>
    <row r="138" spans="47:48" ht="14.25" hidden="1">
      <c r="AU138" s="190">
        <f t="shared" si="0"/>
        <v>0</v>
      </c>
      <c r="AV138" s="191">
        <f t="shared" si="1"/>
        <v>0</v>
      </c>
    </row>
    <row r="139" spans="47:53" ht="14.25" hidden="1">
      <c r="AU139" s="190">
        <f t="shared" si="0"/>
        <v>0</v>
      </c>
      <c r="AV139" s="191">
        <f t="shared" si="1"/>
        <v>0</v>
      </c>
      <c r="AW139" s="166">
        <f>AW140+1</f>
        <v>5</v>
      </c>
      <c r="AY139" s="166">
        <f>AY140+1</f>
        <v>6</v>
      </c>
      <c r="BA139" s="166">
        <f>BA140+1</f>
        <v>9</v>
      </c>
    </row>
    <row r="140" spans="47:57" ht="15" hidden="1" thickBot="1">
      <c r="AU140" s="190">
        <f t="shared" si="0"/>
        <v>0</v>
      </c>
      <c r="AV140" s="191">
        <f t="shared" si="1"/>
        <v>0</v>
      </c>
      <c r="AW140" s="194">
        <v>4</v>
      </c>
      <c r="AX140" s="195">
        <f>VLOOKUP(AW139,BA148:BB162,2,0)</f>
        <v>41730</v>
      </c>
      <c r="AY140" s="194">
        <v>5</v>
      </c>
      <c r="AZ140" s="195">
        <f>VLOOKUP(AY139,BA148:BB162,2,0)</f>
        <v>41760</v>
      </c>
      <c r="BA140" s="194">
        <v>8</v>
      </c>
      <c r="BB140" s="195">
        <f>VLOOKUP(BA139,BA148:BB162,2,0)</f>
        <v>41852</v>
      </c>
      <c r="BD140" s="973" t="s">
        <v>71</v>
      </c>
      <c r="BE140" s="973"/>
    </row>
    <row r="141" spans="42:58" ht="15" hidden="1" thickBot="1">
      <c r="AP141" s="192" t="s">
        <v>62</v>
      </c>
      <c r="AU141" s="190">
        <f t="shared" si="0"/>
        <v>0</v>
      </c>
      <c r="AV141" s="191">
        <f t="shared" si="1"/>
        <v>0</v>
      </c>
      <c r="AW141" s="198">
        <v>1</v>
      </c>
      <c r="AX141" s="199" t="str">
        <f>VLOOKUP(AW141,BA148:BB162,2,0)</f>
        <v>No Change</v>
      </c>
      <c r="BC141" s="166">
        <v>1</v>
      </c>
      <c r="BD141" s="350">
        <v>6700</v>
      </c>
      <c r="BE141" s="350">
        <v>6900</v>
      </c>
      <c r="BF141" s="350">
        <v>7100</v>
      </c>
    </row>
    <row r="142" spans="42:58" ht="14.25" hidden="1">
      <c r="AP142" s="192" t="s">
        <v>63</v>
      </c>
      <c r="AR142" s="193">
        <f>VLOOKUP(AU148,AQ$153:AR$166,2,TRUE)</f>
        <v>42004</v>
      </c>
      <c r="AU142" s="190">
        <f t="shared" si="0"/>
        <v>0</v>
      </c>
      <c r="AV142" s="191">
        <f t="shared" si="1"/>
        <v>0</v>
      </c>
      <c r="AX142" s="193"/>
      <c r="BC142" s="166">
        <v>2</v>
      </c>
      <c r="BD142" s="350">
        <v>6900</v>
      </c>
      <c r="BE142" s="350">
        <v>7100</v>
      </c>
      <c r="BF142" s="350">
        <v>7300</v>
      </c>
    </row>
    <row r="143" spans="42:58" ht="14.25" hidden="1">
      <c r="AP143" s="192" t="s">
        <v>64</v>
      </c>
      <c r="AR143" s="193">
        <f>VLOOKUP(AU149,AQ$153:AR$166,2,TRUE)</f>
        <v>41820</v>
      </c>
      <c r="AU143" s="190">
        <f t="shared" si="0"/>
        <v>0</v>
      </c>
      <c r="AV143" s="191">
        <f t="shared" si="1"/>
        <v>0</v>
      </c>
      <c r="AX143" s="193"/>
      <c r="BC143" s="166">
        <v>3</v>
      </c>
      <c r="BD143" s="350">
        <v>7100</v>
      </c>
      <c r="BE143" s="350">
        <v>7300</v>
      </c>
      <c r="BF143" s="350">
        <v>7520</v>
      </c>
    </row>
    <row r="144" spans="42:58" ht="14.25" hidden="1">
      <c r="AP144" s="192" t="s">
        <v>65</v>
      </c>
      <c r="AR144" s="193">
        <f>VLOOKUP(AU150,AQ$153:AR$166,2,TRUE)</f>
        <v>41943</v>
      </c>
      <c r="AU144" s="190">
        <f t="shared" si="0"/>
        <v>0</v>
      </c>
      <c r="AV144" s="191">
        <f t="shared" si="1"/>
        <v>0</v>
      </c>
      <c r="AX144" s="193"/>
      <c r="BC144" s="166">
        <v>4</v>
      </c>
      <c r="BD144" s="350">
        <v>7300</v>
      </c>
      <c r="BE144" s="350">
        <v>7520</v>
      </c>
      <c r="BF144" s="350">
        <v>7740</v>
      </c>
    </row>
    <row r="145" spans="42:58" ht="14.25" hidden="1">
      <c r="AP145" s="192" t="s">
        <v>66</v>
      </c>
      <c r="AU145" s="196">
        <f t="shared" si="0"/>
        <v>0</v>
      </c>
      <c r="AV145" s="197">
        <f t="shared" si="1"/>
        <v>0</v>
      </c>
      <c r="BC145" s="166">
        <v>5</v>
      </c>
      <c r="BD145" s="350">
        <v>7520</v>
      </c>
      <c r="BE145" s="350">
        <v>7740</v>
      </c>
      <c r="BF145" s="349">
        <v>7960</v>
      </c>
    </row>
    <row r="146" spans="42:61" ht="14.25" hidden="1">
      <c r="AP146" s="192" t="s">
        <v>67</v>
      </c>
      <c r="BC146" s="166">
        <v>6</v>
      </c>
      <c r="BD146" s="350">
        <v>7740</v>
      </c>
      <c r="BE146" s="350">
        <v>7960</v>
      </c>
      <c r="BF146" s="349">
        <v>8200</v>
      </c>
      <c r="BG146" s="969" t="s">
        <v>72</v>
      </c>
      <c r="BH146" s="969"/>
      <c r="BI146" s="969"/>
    </row>
    <row r="147" spans="42:58" ht="14.25" hidden="1">
      <c r="AP147" s="192" t="s">
        <v>68</v>
      </c>
      <c r="AQ147" s="188"/>
      <c r="AR147" s="200" t="s">
        <v>69</v>
      </c>
      <c r="AS147" s="200"/>
      <c r="AT147" s="200"/>
      <c r="AU147" s="200"/>
      <c r="AV147" s="200"/>
      <c r="AW147" s="200"/>
      <c r="AX147" s="200"/>
      <c r="AY147" s="200" t="s">
        <v>32</v>
      </c>
      <c r="AZ147" s="189" t="s">
        <v>33</v>
      </c>
      <c r="BA147" s="166">
        <v>0</v>
      </c>
      <c r="BC147" s="166">
        <v>7</v>
      </c>
      <c r="BD147" s="349">
        <v>7960</v>
      </c>
      <c r="BE147" s="349">
        <v>8200</v>
      </c>
      <c r="BF147" s="349">
        <v>8440</v>
      </c>
    </row>
    <row r="148" spans="42:65" ht="14.25" hidden="1">
      <c r="AP148" s="192" t="s">
        <v>70</v>
      </c>
      <c r="AQ148" s="201">
        <v>2</v>
      </c>
      <c r="AR148" s="202">
        <v>1</v>
      </c>
      <c r="AS148" s="203">
        <v>6</v>
      </c>
      <c r="AT148" s="203">
        <v>10</v>
      </c>
      <c r="AU148" s="204">
        <f>VLOOKUP(AT148,AZ$151:BB$162,3,0)</f>
        <v>41974</v>
      </c>
      <c r="AV148" s="202">
        <f>VLOOKUP(AU148,AZ$258:BA$271,2,0)</f>
        <v>17540</v>
      </c>
      <c r="AW148" s="205">
        <f>AR142</f>
        <v>42004</v>
      </c>
      <c r="AX148" s="202">
        <f>DAY(AW148)</f>
        <v>31</v>
      </c>
      <c r="AY148" s="202">
        <f>IF(AQ148=1,ROUND(AV148*AS148/AX148,0),0)</f>
        <v>0</v>
      </c>
      <c r="AZ148" s="191">
        <f>ROUND(AY148*VLOOKUP(AU$148,BF$262:BK275,6,0),0)</f>
        <v>0</v>
      </c>
      <c r="BA148" s="166">
        <v>1</v>
      </c>
      <c r="BB148" s="166" t="s">
        <v>8</v>
      </c>
      <c r="BC148" s="166">
        <v>8</v>
      </c>
      <c r="BD148" s="349">
        <v>8200</v>
      </c>
      <c r="BE148" s="349">
        <v>8440</v>
      </c>
      <c r="BF148" s="349">
        <v>8680</v>
      </c>
      <c r="BK148" s="969" t="s">
        <v>73</v>
      </c>
      <c r="BL148" s="969"/>
      <c r="BM148" s="969"/>
    </row>
    <row r="149" spans="42:65" ht="14.25" hidden="1">
      <c r="AP149" s="192" t="s">
        <v>74</v>
      </c>
      <c r="AQ149" s="201">
        <v>2</v>
      </c>
      <c r="AR149" s="202">
        <v>2</v>
      </c>
      <c r="AS149" s="203">
        <v>16</v>
      </c>
      <c r="AT149" s="203">
        <v>4</v>
      </c>
      <c r="AU149" s="204">
        <f>VLOOKUP(AT149,AZ$151:BB$162,3,0)</f>
        <v>41791</v>
      </c>
      <c r="AV149" s="202">
        <f>VLOOKUP(AU149,AZ$258:BA$271,2,0)</f>
        <v>17050</v>
      </c>
      <c r="AW149" s="205">
        <f>AR143</f>
        <v>41820</v>
      </c>
      <c r="AX149" s="202">
        <f>DAY(AW149)</f>
        <v>30</v>
      </c>
      <c r="AY149" s="202">
        <f>IF(AQ149=1,ROUND(AV149*AS149/AX149,0),0)</f>
        <v>0</v>
      </c>
      <c r="AZ149" s="191">
        <f>ROUND(AY149*VLOOKUP(AU$149,BF$262:BK276,6,0),0)</f>
        <v>0</v>
      </c>
      <c r="BA149" s="166">
        <v>2</v>
      </c>
      <c r="BB149" s="206">
        <v>41640</v>
      </c>
      <c r="BC149" s="166">
        <v>9</v>
      </c>
      <c r="BD149" s="349">
        <v>8440</v>
      </c>
      <c r="BE149" s="349">
        <v>8680</v>
      </c>
      <c r="BF149" s="349">
        <v>8940</v>
      </c>
      <c r="BG149" s="209">
        <v>10900</v>
      </c>
      <c r="BH149" s="209">
        <v>14860</v>
      </c>
      <c r="BI149" s="209">
        <v>18030</v>
      </c>
      <c r="BK149" s="209">
        <v>10900</v>
      </c>
      <c r="BL149" s="209">
        <v>14860</v>
      </c>
      <c r="BM149" s="209">
        <v>18030</v>
      </c>
    </row>
    <row r="150" spans="42:65" ht="14.25" hidden="1">
      <c r="AP150" s="192" t="s">
        <v>75</v>
      </c>
      <c r="AQ150" s="210">
        <v>2</v>
      </c>
      <c r="AR150" s="211">
        <v>3</v>
      </c>
      <c r="AS150" s="212">
        <v>13</v>
      </c>
      <c r="AT150" s="212">
        <v>8</v>
      </c>
      <c r="AU150" s="213">
        <f>VLOOKUP(AT150,AZ$151:BB$162,3,0)</f>
        <v>41913</v>
      </c>
      <c r="AV150" s="211">
        <f>VLOOKUP(AU150,AZ$258:BA$271,2,0)</f>
        <v>17540</v>
      </c>
      <c r="AW150" s="205">
        <f>AR144</f>
        <v>41943</v>
      </c>
      <c r="AX150" s="211">
        <f>DAY(AW150)</f>
        <v>31</v>
      </c>
      <c r="AY150" s="211">
        <f>IF(AQ150=1,ROUND(AV150*AS150/AX150,0),0)</f>
        <v>0</v>
      </c>
      <c r="AZ150" s="197">
        <f>ROUND(AY150*VLOOKUP(AU$150,BF$262:BK277,6,0),0)</f>
        <v>0</v>
      </c>
      <c r="BA150" s="166">
        <v>3</v>
      </c>
      <c r="BB150" s="206">
        <v>41671</v>
      </c>
      <c r="BC150" s="166">
        <v>10</v>
      </c>
      <c r="BD150" s="349">
        <v>8680</v>
      </c>
      <c r="BE150" s="349">
        <v>8940</v>
      </c>
      <c r="BF150" s="349">
        <v>9200</v>
      </c>
      <c r="BG150" s="209">
        <v>11200</v>
      </c>
      <c r="BH150" s="209">
        <v>14860</v>
      </c>
      <c r="BI150" s="209">
        <v>18030</v>
      </c>
      <c r="BK150" s="209">
        <v>11200</v>
      </c>
      <c r="BL150" s="209">
        <v>14860</v>
      </c>
      <c r="BM150" s="209">
        <v>18030</v>
      </c>
    </row>
    <row r="151" spans="42:69" ht="14.25" hidden="1">
      <c r="AP151" s="192" t="s">
        <v>76</v>
      </c>
      <c r="AY151" s="202"/>
      <c r="AZ151" s="166">
        <v>1</v>
      </c>
      <c r="BA151" s="166">
        <v>4</v>
      </c>
      <c r="BB151" s="206">
        <v>41699</v>
      </c>
      <c r="BC151" s="166">
        <v>11</v>
      </c>
      <c r="BD151" s="349">
        <v>8940</v>
      </c>
      <c r="BE151" s="349">
        <v>9200</v>
      </c>
      <c r="BF151" s="349">
        <v>9460</v>
      </c>
      <c r="BG151" s="209">
        <v>11530</v>
      </c>
      <c r="BH151" s="209">
        <v>14860</v>
      </c>
      <c r="BI151" s="209">
        <v>18030</v>
      </c>
      <c r="BK151" s="209">
        <v>11530</v>
      </c>
      <c r="BL151" s="209">
        <v>14860</v>
      </c>
      <c r="BM151" s="209">
        <v>18030</v>
      </c>
      <c r="BN151" s="166">
        <v>1</v>
      </c>
      <c r="BO151" s="166" t="s">
        <v>77</v>
      </c>
      <c r="BP151" s="166">
        <v>1</v>
      </c>
      <c r="BQ151" s="166">
        <v>2</v>
      </c>
    </row>
    <row r="152" spans="42:69" ht="14.25" hidden="1">
      <c r="AP152" s="192" t="s">
        <v>78</v>
      </c>
      <c r="AS152" s="449"/>
      <c r="AU152" s="193"/>
      <c r="AV152" s="193"/>
      <c r="AW152" s="193"/>
      <c r="AY152" s="202"/>
      <c r="AZ152" s="166">
        <v>2</v>
      </c>
      <c r="BA152" s="166">
        <v>5</v>
      </c>
      <c r="BB152" s="206">
        <v>41730</v>
      </c>
      <c r="BC152" s="166">
        <v>12</v>
      </c>
      <c r="BD152" s="349">
        <v>9200</v>
      </c>
      <c r="BE152" s="349">
        <v>9460</v>
      </c>
      <c r="BF152" s="349">
        <v>9740</v>
      </c>
      <c r="BG152" s="209">
        <v>11860</v>
      </c>
      <c r="BH152" s="209">
        <v>14860</v>
      </c>
      <c r="BI152" s="209">
        <v>18030</v>
      </c>
      <c r="BK152" s="209">
        <v>11860</v>
      </c>
      <c r="BL152" s="209">
        <v>14860</v>
      </c>
      <c r="BM152" s="209">
        <v>18030</v>
      </c>
      <c r="BN152" s="166">
        <v>2</v>
      </c>
      <c r="BO152" s="166" t="s">
        <v>79</v>
      </c>
      <c r="BP152" s="166">
        <v>2</v>
      </c>
      <c r="BQ152" s="166">
        <v>1</v>
      </c>
    </row>
    <row r="153" spans="42:69" ht="14.25" hidden="1">
      <c r="AP153" s="192" t="s">
        <v>80</v>
      </c>
      <c r="AQ153" s="232">
        <v>41640</v>
      </c>
      <c r="AR153" s="193">
        <v>41670</v>
      </c>
      <c r="AS153" s="449"/>
      <c r="AU153" s="193"/>
      <c r="AV153" s="193"/>
      <c r="AW153" s="193"/>
      <c r="AY153" s="202"/>
      <c r="AZ153" s="166">
        <v>3</v>
      </c>
      <c r="BA153" s="166">
        <v>6</v>
      </c>
      <c r="BB153" s="206">
        <v>41760</v>
      </c>
      <c r="BC153" s="166">
        <v>13</v>
      </c>
      <c r="BD153" s="349">
        <v>9460</v>
      </c>
      <c r="BE153" s="349">
        <v>9740</v>
      </c>
      <c r="BF153" s="349">
        <v>10020</v>
      </c>
      <c r="BG153" s="209">
        <v>12190</v>
      </c>
      <c r="BH153" s="209">
        <v>14860</v>
      </c>
      <c r="BI153" s="209">
        <v>18030</v>
      </c>
      <c r="BK153" s="209">
        <v>12190</v>
      </c>
      <c r="BL153" s="209">
        <v>14860</v>
      </c>
      <c r="BM153" s="209">
        <v>18030</v>
      </c>
      <c r="BN153" s="166">
        <v>3</v>
      </c>
      <c r="BO153" s="166" t="s">
        <v>81</v>
      </c>
      <c r="BP153" s="166">
        <v>3</v>
      </c>
      <c r="BQ153" s="166">
        <v>1</v>
      </c>
    </row>
    <row r="154" spans="42:69" ht="14.25" hidden="1">
      <c r="AP154" s="192" t="s">
        <v>82</v>
      </c>
      <c r="AQ154" s="232">
        <v>41671</v>
      </c>
      <c r="AR154" s="193">
        <v>41698</v>
      </c>
      <c r="AS154" s="449"/>
      <c r="AU154" s="193"/>
      <c r="AV154" s="193"/>
      <c r="AW154" s="193"/>
      <c r="AY154" s="204"/>
      <c r="AZ154" s="166">
        <v>4</v>
      </c>
      <c r="BA154" s="166">
        <v>7</v>
      </c>
      <c r="BB154" s="206">
        <v>41791</v>
      </c>
      <c r="BC154" s="166">
        <v>14</v>
      </c>
      <c r="BD154" s="349">
        <v>9740</v>
      </c>
      <c r="BE154" s="349">
        <v>10020</v>
      </c>
      <c r="BF154" s="349">
        <v>10300</v>
      </c>
      <c r="BG154" s="209">
        <v>12550</v>
      </c>
      <c r="BH154" s="209">
        <v>14860</v>
      </c>
      <c r="BI154" s="209">
        <v>18030</v>
      </c>
      <c r="BK154" s="209">
        <v>12550</v>
      </c>
      <c r="BL154" s="209">
        <v>14860</v>
      </c>
      <c r="BM154" s="209">
        <v>18030</v>
      </c>
      <c r="BN154" s="166">
        <v>4</v>
      </c>
      <c r="BO154" s="166" t="s">
        <v>83</v>
      </c>
      <c r="BP154" s="166">
        <v>4</v>
      </c>
      <c r="BQ154" s="166">
        <v>2</v>
      </c>
    </row>
    <row r="155" spans="42:69" ht="14.25" hidden="1">
      <c r="AP155" s="192" t="s">
        <v>84</v>
      </c>
      <c r="AQ155" s="232">
        <v>41699</v>
      </c>
      <c r="AR155" s="193">
        <v>41729</v>
      </c>
      <c r="AS155" s="214"/>
      <c r="AV155" s="193"/>
      <c r="AW155" s="206"/>
      <c r="AY155" s="204"/>
      <c r="AZ155" s="166">
        <v>5</v>
      </c>
      <c r="BA155" s="166">
        <v>8</v>
      </c>
      <c r="BB155" s="206">
        <v>41821</v>
      </c>
      <c r="BC155" s="166">
        <v>15</v>
      </c>
      <c r="BD155" s="349">
        <v>10020</v>
      </c>
      <c r="BE155" s="349">
        <v>10300</v>
      </c>
      <c r="BF155" s="350">
        <v>10600</v>
      </c>
      <c r="BG155" s="209">
        <v>12910</v>
      </c>
      <c r="BH155" s="209">
        <v>14860</v>
      </c>
      <c r="BI155" s="209">
        <v>18030</v>
      </c>
      <c r="BK155" s="209">
        <v>12910</v>
      </c>
      <c r="BL155" s="209">
        <v>14860</v>
      </c>
      <c r="BM155" s="209">
        <v>18030</v>
      </c>
      <c r="BN155" s="166">
        <v>5</v>
      </c>
      <c r="BO155" s="166" t="s">
        <v>85</v>
      </c>
      <c r="BP155" s="166">
        <v>5</v>
      </c>
      <c r="BQ155" s="166">
        <v>2</v>
      </c>
    </row>
    <row r="156" spans="42:78" ht="14.25" hidden="1">
      <c r="AP156" s="192" t="s">
        <v>86</v>
      </c>
      <c r="AQ156" s="232">
        <v>41730</v>
      </c>
      <c r="AR156" s="193">
        <v>41759</v>
      </c>
      <c r="AV156" s="193"/>
      <c r="AW156" s="206"/>
      <c r="AY156" s="204"/>
      <c r="AZ156" s="166">
        <v>6</v>
      </c>
      <c r="BA156" s="166">
        <v>9</v>
      </c>
      <c r="BB156" s="206">
        <v>41852</v>
      </c>
      <c r="BC156" s="166">
        <v>16</v>
      </c>
      <c r="BD156" s="349">
        <v>10300</v>
      </c>
      <c r="BE156" s="349">
        <v>10600</v>
      </c>
      <c r="BF156" s="347">
        <v>10900</v>
      </c>
      <c r="BG156" s="209">
        <v>13270</v>
      </c>
      <c r="BH156" s="209">
        <v>14860</v>
      </c>
      <c r="BI156" s="209">
        <v>18030</v>
      </c>
      <c r="BK156" s="209">
        <v>13270</v>
      </c>
      <c r="BL156" s="209">
        <v>14860</v>
      </c>
      <c r="BM156" s="209">
        <v>18030</v>
      </c>
      <c r="BN156" s="166">
        <v>6</v>
      </c>
      <c r="BO156" s="166" t="s">
        <v>87</v>
      </c>
      <c r="BP156" s="166">
        <v>6</v>
      </c>
      <c r="BQ156" s="166">
        <v>2</v>
      </c>
      <c r="BU156" s="188" t="s">
        <v>8</v>
      </c>
      <c r="BV156" s="200"/>
      <c r="BW156" s="200"/>
      <c r="BX156" s="200"/>
      <c r="BY156" s="200"/>
      <c r="BZ156" s="189"/>
    </row>
    <row r="157" spans="42:78" ht="14.25" hidden="1">
      <c r="AP157" s="192" t="s">
        <v>88</v>
      </c>
      <c r="AQ157" s="232">
        <v>41760</v>
      </c>
      <c r="AR157" s="193">
        <v>41790</v>
      </c>
      <c r="AV157" s="193"/>
      <c r="AW157" s="206"/>
      <c r="AY157" s="204"/>
      <c r="AZ157" s="166">
        <v>7</v>
      </c>
      <c r="BA157" s="166">
        <v>10</v>
      </c>
      <c r="BB157" s="206">
        <v>41883</v>
      </c>
      <c r="BC157" s="166">
        <v>17</v>
      </c>
      <c r="BD157" s="350">
        <v>10600</v>
      </c>
      <c r="BE157" s="348">
        <v>10900</v>
      </c>
      <c r="BF157" s="208">
        <v>11200</v>
      </c>
      <c r="BG157" s="209">
        <v>13660</v>
      </c>
      <c r="BH157" s="209">
        <v>14860</v>
      </c>
      <c r="BI157" s="209">
        <v>18030</v>
      </c>
      <c r="BK157" s="209">
        <v>13660</v>
      </c>
      <c r="BL157" s="209">
        <v>14860</v>
      </c>
      <c r="BM157" s="209">
        <v>18030</v>
      </c>
      <c r="BN157" s="166">
        <v>7</v>
      </c>
      <c r="BO157" s="166" t="s">
        <v>89</v>
      </c>
      <c r="BP157" s="166">
        <v>7</v>
      </c>
      <c r="BQ157" s="166">
        <v>2</v>
      </c>
      <c r="BU157" s="190" t="s">
        <v>90</v>
      </c>
      <c r="BV157" s="202"/>
      <c r="BW157" s="202"/>
      <c r="BX157" s="202"/>
      <c r="BY157" s="202" t="s">
        <v>77</v>
      </c>
      <c r="BZ157" s="191" t="s">
        <v>79</v>
      </c>
    </row>
    <row r="158" spans="42:95" ht="14.25" hidden="1">
      <c r="AP158" s="192" t="s">
        <v>91</v>
      </c>
      <c r="AQ158" s="232">
        <v>41791</v>
      </c>
      <c r="AR158" s="193">
        <v>41820</v>
      </c>
      <c r="AY158" s="204"/>
      <c r="AZ158" s="166">
        <v>8</v>
      </c>
      <c r="BA158" s="166">
        <v>11</v>
      </c>
      <c r="BB158" s="206">
        <v>41913</v>
      </c>
      <c r="BC158" s="166">
        <v>18</v>
      </c>
      <c r="BD158" s="347">
        <v>10900</v>
      </c>
      <c r="BE158" s="347">
        <v>11200</v>
      </c>
      <c r="BF158" s="208">
        <v>11530</v>
      </c>
      <c r="BG158" s="209">
        <v>14050</v>
      </c>
      <c r="BH158" s="209">
        <v>14860</v>
      </c>
      <c r="BI158" s="209">
        <v>18030</v>
      </c>
      <c r="BK158" s="209">
        <v>14050</v>
      </c>
      <c r="BL158" s="209">
        <v>14860</v>
      </c>
      <c r="BM158" s="209">
        <v>18030</v>
      </c>
      <c r="BN158" s="166">
        <v>8</v>
      </c>
      <c r="BO158" s="166" t="s">
        <v>92</v>
      </c>
      <c r="BP158" s="166">
        <v>8</v>
      </c>
      <c r="BQ158" s="166">
        <v>2</v>
      </c>
      <c r="BU158" s="190" t="s">
        <v>93</v>
      </c>
      <c r="BV158" s="202"/>
      <c r="BW158" s="202"/>
      <c r="BX158" s="202"/>
      <c r="BY158" s="202" t="s">
        <v>83</v>
      </c>
      <c r="BZ158" s="191" t="s">
        <v>81</v>
      </c>
      <c r="CM158" s="166" t="s">
        <v>566</v>
      </c>
      <c r="CN158" s="166" t="s">
        <v>567</v>
      </c>
      <c r="CO158" s="166" t="s">
        <v>568</v>
      </c>
      <c r="CQ158" s="166" t="s">
        <v>563</v>
      </c>
    </row>
    <row r="159" spans="42:95" ht="14.25" hidden="1">
      <c r="AP159" s="192" t="s">
        <v>94</v>
      </c>
      <c r="AQ159" s="232">
        <v>41821</v>
      </c>
      <c r="AR159" s="193">
        <v>41851</v>
      </c>
      <c r="AY159" s="202"/>
      <c r="AZ159" s="166">
        <v>9</v>
      </c>
      <c r="BA159" s="166">
        <v>12</v>
      </c>
      <c r="BB159" s="206">
        <v>41944</v>
      </c>
      <c r="BC159" s="166">
        <v>19</v>
      </c>
      <c r="BD159" s="208">
        <v>11200</v>
      </c>
      <c r="BE159" s="208">
        <v>11530</v>
      </c>
      <c r="BF159" s="208">
        <v>11860</v>
      </c>
      <c r="BG159" s="209">
        <v>14440</v>
      </c>
      <c r="BH159" s="209">
        <v>14860</v>
      </c>
      <c r="BI159" s="209">
        <v>18030</v>
      </c>
      <c r="BK159" s="209">
        <v>14440</v>
      </c>
      <c r="BL159" s="209">
        <v>15280</v>
      </c>
      <c r="BM159" s="209">
        <v>18030</v>
      </c>
      <c r="BN159" s="166">
        <v>9</v>
      </c>
      <c r="BO159" s="166" t="s">
        <v>95</v>
      </c>
      <c r="BP159" s="166">
        <v>9</v>
      </c>
      <c r="BQ159" s="166">
        <v>2</v>
      </c>
      <c r="BU159" s="190" t="s">
        <v>96</v>
      </c>
      <c r="BV159" s="202"/>
      <c r="BW159" s="202"/>
      <c r="BX159" s="202"/>
      <c r="BY159" s="202" t="s">
        <v>85</v>
      </c>
      <c r="BZ159" s="191" t="s">
        <v>97</v>
      </c>
      <c r="CK159" s="206">
        <f>CK175</f>
        <v>41699</v>
      </c>
      <c r="CL159" s="166">
        <f>BP280</f>
        <v>17050</v>
      </c>
      <c r="CM159" s="166">
        <f>IF(AND(BT$187=2,CL159&lt;=CI$160),325,IF(AND(BT$187=2,CL159&lt;=CJ$161),400,IF(AND(BT$187=2,CL159&lt;=CJ$162),475,IF(AND(BT$187=2,CL159&lt;=CJ$163),575,IF(AND(BT$187=2,CL159&lt;=CJ$164),625,IF(AND(BT$187=2,CL159&gt;CI$165),675,""))))))</f>
      </c>
      <c r="CN159" s="166">
        <f>IF(AND(BT$187=3,CL159&lt;=CI$160),400,IF(AND(BT$187=3,CL159&lt;=CJ$161),475,IF(AND(BT$187=3,CL159&lt;=CJ$162),575,IF(AND(BT$187=3,CL159&lt;=CJ$163),625,IF(AND(BT$187=3,CL159&lt;=CJ$164),675,IF(AND(BT$187=2,CL159&gt;CI$165),725,""))))))</f>
      </c>
      <c r="CO159" s="166">
        <f>IF(AND(BT$187=4,CL159&lt;=CI$160),475,IF(AND(BT$187=4,CL159&lt;=CJ$161),550,IF(AND(BT$187=4,CL159&lt;=CJ$162),625,IF(AND(BT$187=4,CL159&lt;=CJ$163),700,IF(AND(BT$187=4,CL159&lt;=CJ$164),775,IF(AND(BT$187=4,CL159&gt;CI$165),850,""))))))</f>
      </c>
      <c r="CP159" s="166">
        <f>MAX(CM159:CO159)</f>
        <v>0</v>
      </c>
      <c r="CQ159" s="166">
        <f>IF(CP159=0,"",CP159)</f>
      </c>
    </row>
    <row r="160" spans="42:95" ht="14.25" hidden="1">
      <c r="AP160" s="192" t="s">
        <v>98</v>
      </c>
      <c r="AQ160" s="232">
        <v>41852</v>
      </c>
      <c r="AR160" s="193">
        <v>41882</v>
      </c>
      <c r="AY160" s="204"/>
      <c r="AZ160" s="166">
        <v>10</v>
      </c>
      <c r="BA160" s="166">
        <v>13</v>
      </c>
      <c r="BB160" s="206">
        <v>41974</v>
      </c>
      <c r="BC160" s="166">
        <v>20</v>
      </c>
      <c r="BD160" s="208">
        <v>11530</v>
      </c>
      <c r="BE160" s="208">
        <v>11860</v>
      </c>
      <c r="BF160" s="208">
        <v>12190</v>
      </c>
      <c r="BG160" s="209">
        <v>14860</v>
      </c>
      <c r="BH160" s="209">
        <v>15280</v>
      </c>
      <c r="BI160" s="209">
        <v>18030</v>
      </c>
      <c r="BK160" s="209">
        <v>14860</v>
      </c>
      <c r="BL160" s="209">
        <v>15700</v>
      </c>
      <c r="BM160" s="209">
        <v>18030</v>
      </c>
      <c r="BN160" s="166">
        <v>10</v>
      </c>
      <c r="BO160" s="166" t="s">
        <v>99</v>
      </c>
      <c r="BP160" s="166">
        <v>10</v>
      </c>
      <c r="BQ160" s="166">
        <v>2</v>
      </c>
      <c r="BU160" s="190" t="s">
        <v>100</v>
      </c>
      <c r="BV160" s="202"/>
      <c r="BW160" s="202"/>
      <c r="BX160" s="202"/>
      <c r="BY160" s="202" t="s">
        <v>87</v>
      </c>
      <c r="BZ160" s="191" t="s">
        <v>97</v>
      </c>
      <c r="CI160" s="166">
        <v>10600</v>
      </c>
      <c r="CK160" s="206">
        <f aca="true" t="shared" si="2" ref="CK160:CK170">CK176</f>
        <v>41730</v>
      </c>
      <c r="CL160" s="166">
        <f aca="true" t="shared" si="3" ref="CL160:CL170">BP281</f>
        <v>17050</v>
      </c>
      <c r="CM160" s="166">
        <f aca="true" t="shared" si="4" ref="CM160:CM170">IF(AND(BT$187=2,CL160&lt;=CI$160),325,IF(AND(BT$187=2,CL160&lt;=CJ$161),400,IF(AND(BT$187=2,CL160&lt;=CJ$162),475,IF(AND(BT$187=2,CL160&lt;=CJ$163),575,IF(AND(BT$187=2,CL160&lt;=CJ$164),625,IF(AND(BT$187=2,CL160&gt;CI$165),675,""))))))</f>
      </c>
      <c r="CN160" s="166">
        <f aca="true" t="shared" si="5" ref="CN160:CN170">IF(AND(BT$187=3,CL160&lt;=CI$160),400,IF(AND(BT$187=3,CL160&lt;=CJ$161),475,IF(AND(BT$187=3,CL160&lt;=CJ$162),575,IF(AND(BT$187=3,CL160&lt;=CJ$163),625,IF(AND(BT$187=3,CL160&lt;=CJ$164),675,IF(AND(BT$187=2,CL160&gt;CI$165),725,""))))))</f>
      </c>
      <c r="CO160" s="166">
        <f aca="true" t="shared" si="6" ref="CO160:CO170">IF(AND(BT$187=4,CL160&lt;=CI$160),475,IF(AND(BT$187=4,CL160&lt;=CJ$161),550,IF(AND(BT$187=4,CL160&lt;=CJ$162),625,IF(AND(BT$187=4,CL160&lt;=CJ$163),700,IF(AND(BT$187=4,CL160&lt;=CJ$164),775,IF(AND(BT$187=4,CL160&gt;CI$165),850,""))))))</f>
      </c>
      <c r="CP160" s="166">
        <f aca="true" t="shared" si="7" ref="CP160:CP170">MAX(CM160:CO160)</f>
        <v>0</v>
      </c>
      <c r="CQ160" s="166">
        <f aca="true" t="shared" si="8" ref="CQ160:CQ170">IF(CP160=0,"",CP160)</f>
      </c>
    </row>
    <row r="161" spans="42:95" ht="14.25" hidden="1">
      <c r="AP161" s="192" t="s">
        <v>101</v>
      </c>
      <c r="AQ161" s="232">
        <v>41883</v>
      </c>
      <c r="AR161" s="193">
        <v>41912</v>
      </c>
      <c r="AY161" s="204"/>
      <c r="AZ161" s="166">
        <v>11</v>
      </c>
      <c r="BA161" s="166">
        <v>14</v>
      </c>
      <c r="BB161" s="206">
        <v>42005</v>
      </c>
      <c r="BC161" s="166">
        <v>21</v>
      </c>
      <c r="BD161" s="208">
        <v>11860</v>
      </c>
      <c r="BE161" s="208">
        <v>12190</v>
      </c>
      <c r="BF161" s="208">
        <v>12550</v>
      </c>
      <c r="BG161" s="209">
        <v>15280</v>
      </c>
      <c r="BH161" s="209">
        <v>15700</v>
      </c>
      <c r="BI161" s="209">
        <v>18030</v>
      </c>
      <c r="BK161" s="209">
        <v>15280</v>
      </c>
      <c r="BL161" s="209">
        <v>16150</v>
      </c>
      <c r="BM161" s="209">
        <v>18030</v>
      </c>
      <c r="BN161" s="166">
        <v>11</v>
      </c>
      <c r="BO161" s="166" t="s">
        <v>102</v>
      </c>
      <c r="BP161" s="166">
        <v>11</v>
      </c>
      <c r="BQ161" s="166">
        <v>2</v>
      </c>
      <c r="BU161" s="190" t="s">
        <v>103</v>
      </c>
      <c r="BV161" s="202"/>
      <c r="BW161" s="202"/>
      <c r="BX161" s="202"/>
      <c r="BY161" s="202" t="s">
        <v>89</v>
      </c>
      <c r="BZ161" s="191" t="s">
        <v>104</v>
      </c>
      <c r="CI161" s="166">
        <v>10601</v>
      </c>
      <c r="CJ161" s="166">
        <v>13660</v>
      </c>
      <c r="CK161" s="206">
        <f t="shared" si="2"/>
        <v>41760</v>
      </c>
      <c r="CL161" s="166">
        <f t="shared" si="3"/>
        <v>17050</v>
      </c>
      <c r="CM161" s="166">
        <f t="shared" si="4"/>
      </c>
      <c r="CN161" s="166">
        <f t="shared" si="5"/>
      </c>
      <c r="CO161" s="166">
        <f t="shared" si="6"/>
      </c>
      <c r="CP161" s="166">
        <f t="shared" si="7"/>
        <v>0</v>
      </c>
      <c r="CQ161" s="166">
        <f t="shared" si="8"/>
      </c>
    </row>
    <row r="162" spans="42:95" ht="14.25" hidden="1">
      <c r="AP162" s="192" t="s">
        <v>105</v>
      </c>
      <c r="AQ162" s="232">
        <v>41913</v>
      </c>
      <c r="AR162" s="193">
        <v>41943</v>
      </c>
      <c r="AY162" s="204"/>
      <c r="AZ162" s="166">
        <v>12</v>
      </c>
      <c r="BA162" s="166">
        <v>15</v>
      </c>
      <c r="BB162" s="206">
        <v>42036</v>
      </c>
      <c r="BC162" s="166">
        <v>22</v>
      </c>
      <c r="BD162" s="208">
        <v>12190</v>
      </c>
      <c r="BE162" s="208">
        <v>12550</v>
      </c>
      <c r="BF162" s="208">
        <v>12910</v>
      </c>
      <c r="BG162" s="209">
        <v>15700</v>
      </c>
      <c r="BH162" s="209">
        <v>16150</v>
      </c>
      <c r="BI162" s="209">
        <v>18030</v>
      </c>
      <c r="BK162" s="209">
        <v>15700</v>
      </c>
      <c r="BL162" s="209">
        <v>16600</v>
      </c>
      <c r="BM162" s="209">
        <v>18030</v>
      </c>
      <c r="BN162" s="166">
        <v>12</v>
      </c>
      <c r="BO162" s="166" t="s">
        <v>49</v>
      </c>
      <c r="BP162" s="166">
        <v>12</v>
      </c>
      <c r="BQ162" s="166">
        <v>3</v>
      </c>
      <c r="BU162" s="190" t="s">
        <v>106</v>
      </c>
      <c r="BV162" s="202"/>
      <c r="BW162" s="202"/>
      <c r="BX162" s="202"/>
      <c r="BY162" s="202" t="s">
        <v>92</v>
      </c>
      <c r="BZ162" s="191" t="s">
        <v>104</v>
      </c>
      <c r="CI162" s="166">
        <v>13661</v>
      </c>
      <c r="CJ162" s="166">
        <v>17050</v>
      </c>
      <c r="CK162" s="206">
        <f t="shared" si="2"/>
        <v>41791</v>
      </c>
      <c r="CL162" s="166">
        <f t="shared" si="3"/>
        <v>17050</v>
      </c>
      <c r="CM162" s="166">
        <f t="shared" si="4"/>
      </c>
      <c r="CN162" s="166">
        <f t="shared" si="5"/>
      </c>
      <c r="CO162" s="166">
        <f t="shared" si="6"/>
      </c>
      <c r="CP162" s="166">
        <f t="shared" si="7"/>
        <v>0</v>
      </c>
      <c r="CQ162" s="166">
        <f t="shared" si="8"/>
      </c>
    </row>
    <row r="163" spans="42:95" ht="15" hidden="1" thickBot="1">
      <c r="AP163" s="192" t="s">
        <v>107</v>
      </c>
      <c r="AQ163" s="232">
        <v>41944</v>
      </c>
      <c r="AR163" s="193">
        <v>41973</v>
      </c>
      <c r="AS163" s="166">
        <v>1</v>
      </c>
      <c r="AT163" s="166" t="s">
        <v>55</v>
      </c>
      <c r="AY163" s="206"/>
      <c r="BA163" s="166">
        <v>16</v>
      </c>
      <c r="BB163" s="206"/>
      <c r="BC163" s="166">
        <v>23</v>
      </c>
      <c r="BD163" s="208">
        <v>12550</v>
      </c>
      <c r="BE163" s="208">
        <v>12910</v>
      </c>
      <c r="BF163" s="208">
        <v>13270</v>
      </c>
      <c r="BG163" s="209">
        <v>16150</v>
      </c>
      <c r="BH163" s="209">
        <v>16600</v>
      </c>
      <c r="BI163" s="209">
        <v>18030</v>
      </c>
      <c r="BK163" s="209">
        <v>16150</v>
      </c>
      <c r="BL163" s="209">
        <v>17050</v>
      </c>
      <c r="BM163" s="209">
        <v>18030</v>
      </c>
      <c r="BN163" s="166">
        <v>13</v>
      </c>
      <c r="BO163" s="166" t="s">
        <v>108</v>
      </c>
      <c r="BP163" s="166">
        <v>13</v>
      </c>
      <c r="BQ163" s="166">
        <v>1</v>
      </c>
      <c r="BU163" s="190"/>
      <c r="BV163" s="202"/>
      <c r="BW163" s="202"/>
      <c r="BX163" s="202"/>
      <c r="BY163" s="202" t="s">
        <v>95</v>
      </c>
      <c r="BZ163" s="191" t="s">
        <v>104</v>
      </c>
      <c r="CI163" s="166">
        <v>17051</v>
      </c>
      <c r="CJ163" s="166">
        <v>21250</v>
      </c>
      <c r="CK163" s="206">
        <f t="shared" si="2"/>
        <v>41821</v>
      </c>
      <c r="CL163" s="166">
        <f t="shared" si="3"/>
        <v>17050</v>
      </c>
      <c r="CM163" s="166">
        <f t="shared" si="4"/>
      </c>
      <c r="CN163" s="166">
        <f t="shared" si="5"/>
      </c>
      <c r="CO163" s="166">
        <f t="shared" si="6"/>
      </c>
      <c r="CP163" s="166">
        <f t="shared" si="7"/>
        <v>0</v>
      </c>
      <c r="CQ163" s="166">
        <f t="shared" si="8"/>
      </c>
    </row>
    <row r="164" spans="42:95" ht="15" hidden="1" thickBot="1">
      <c r="AP164" s="192" t="s">
        <v>109</v>
      </c>
      <c r="AQ164" s="232">
        <v>41974</v>
      </c>
      <c r="AR164" s="193">
        <v>42004</v>
      </c>
      <c r="AS164" s="166">
        <v>2</v>
      </c>
      <c r="AT164" s="166" t="s">
        <v>52</v>
      </c>
      <c r="BA164" s="166">
        <v>17</v>
      </c>
      <c r="BB164" s="215">
        <v>5</v>
      </c>
      <c r="BC164" s="166">
        <v>24</v>
      </c>
      <c r="BD164" s="208">
        <v>12910</v>
      </c>
      <c r="BE164" s="208">
        <v>13270</v>
      </c>
      <c r="BF164" s="208">
        <v>13660</v>
      </c>
      <c r="BG164" s="209">
        <v>16600</v>
      </c>
      <c r="BH164" s="209">
        <v>17050</v>
      </c>
      <c r="BI164" s="209">
        <v>18030</v>
      </c>
      <c r="BK164" s="209">
        <v>16600</v>
      </c>
      <c r="BL164" s="209">
        <v>17540</v>
      </c>
      <c r="BM164" s="209">
        <v>18030</v>
      </c>
      <c r="BN164" s="166">
        <v>14</v>
      </c>
      <c r="BO164" s="166" t="s">
        <v>110</v>
      </c>
      <c r="BP164" s="166">
        <v>14</v>
      </c>
      <c r="BQ164" s="166">
        <v>1</v>
      </c>
      <c r="BU164" s="216" t="str">
        <f>IF(OR(AQ251=BU160,AQ251=BU161),VLOOKUP(BO166,BY157:BZ167,2,0),IF(OR(AQ252=BU160,AQ252=BU161),VLOOKUP(BO166,BY157:BZ167,2,0),IF(OR(AQ253=BU160,AQ253=BU161),VLOOKUP(BO166,BY157:BZ167,2,0),BO166)))</f>
        <v>SA(PS)</v>
      </c>
      <c r="BV164" s="202"/>
      <c r="BW164" s="202"/>
      <c r="BX164" s="202"/>
      <c r="BY164" s="202" t="s">
        <v>99</v>
      </c>
      <c r="BZ164" s="191" t="s">
        <v>104</v>
      </c>
      <c r="CI164" s="166">
        <v>21251</v>
      </c>
      <c r="CJ164" s="166">
        <v>25450</v>
      </c>
      <c r="CK164" s="206">
        <f t="shared" si="2"/>
        <v>41852</v>
      </c>
      <c r="CL164" s="166">
        <f t="shared" si="3"/>
        <v>17540</v>
      </c>
      <c r="CM164" s="166">
        <f t="shared" si="4"/>
      </c>
      <c r="CN164" s="166">
        <f t="shared" si="5"/>
      </c>
      <c r="CO164" s="166">
        <f t="shared" si="6"/>
      </c>
      <c r="CP164" s="166">
        <f t="shared" si="7"/>
        <v>0</v>
      </c>
      <c r="CQ164" s="166">
        <f t="shared" si="8"/>
      </c>
    </row>
    <row r="165" spans="42:95" ht="14.25" hidden="1">
      <c r="AP165" s="192" t="s">
        <v>111</v>
      </c>
      <c r="AQ165" s="232">
        <v>42005</v>
      </c>
      <c r="AR165" s="193">
        <v>42035</v>
      </c>
      <c r="AS165" s="166">
        <v>3</v>
      </c>
      <c r="AT165" s="166" t="s">
        <v>112</v>
      </c>
      <c r="BA165" s="166">
        <v>18</v>
      </c>
      <c r="BB165" s="166">
        <v>12</v>
      </c>
      <c r="BC165" s="166">
        <v>25</v>
      </c>
      <c r="BD165" s="208">
        <v>13270</v>
      </c>
      <c r="BE165" s="208">
        <v>13660</v>
      </c>
      <c r="BF165" s="208">
        <v>14050</v>
      </c>
      <c r="BG165" s="209">
        <v>17050</v>
      </c>
      <c r="BH165" s="209">
        <v>17540</v>
      </c>
      <c r="BI165" s="209">
        <v>18030</v>
      </c>
      <c r="BK165" s="209">
        <v>17050</v>
      </c>
      <c r="BL165" s="209">
        <v>18030</v>
      </c>
      <c r="BM165" s="209">
        <v>18030</v>
      </c>
      <c r="BN165" s="166">
        <v>15</v>
      </c>
      <c r="BO165" s="166" t="s">
        <v>113</v>
      </c>
      <c r="BP165" s="166">
        <v>15</v>
      </c>
      <c r="BQ165" s="166">
        <v>3</v>
      </c>
      <c r="BU165" s="190"/>
      <c r="BV165" s="202"/>
      <c r="BW165" s="202"/>
      <c r="BX165" s="202"/>
      <c r="BY165" s="202" t="s">
        <v>102</v>
      </c>
      <c r="BZ165" s="191" t="s">
        <v>104</v>
      </c>
      <c r="CI165" s="166">
        <v>28451</v>
      </c>
      <c r="CK165" s="206">
        <f t="shared" si="2"/>
        <v>41883</v>
      </c>
      <c r="CL165" s="166">
        <f t="shared" si="3"/>
        <v>17540</v>
      </c>
      <c r="CM165" s="166">
        <f t="shared" si="4"/>
      </c>
      <c r="CN165" s="166">
        <f t="shared" si="5"/>
      </c>
      <c r="CO165" s="166">
        <f t="shared" si="6"/>
      </c>
      <c r="CP165" s="166">
        <f t="shared" si="7"/>
        <v>0</v>
      </c>
      <c r="CQ165" s="166">
        <f t="shared" si="8"/>
      </c>
    </row>
    <row r="166" spans="42:95" ht="14.25" hidden="1">
      <c r="AP166" s="192" t="s">
        <v>114</v>
      </c>
      <c r="AQ166" s="232">
        <v>42036</v>
      </c>
      <c r="AR166" s="193">
        <v>42063</v>
      </c>
      <c r="AS166" s="166">
        <v>4</v>
      </c>
      <c r="AT166" s="166" t="s">
        <v>47</v>
      </c>
      <c r="AX166" s="166">
        <v>1</v>
      </c>
      <c r="AY166" s="166" t="s">
        <v>2</v>
      </c>
      <c r="AZ166" s="166" t="s">
        <v>528</v>
      </c>
      <c r="BA166" s="166">
        <v>19</v>
      </c>
      <c r="BB166" s="166">
        <v>14.5</v>
      </c>
      <c r="BC166" s="166">
        <v>26</v>
      </c>
      <c r="BD166" s="208">
        <v>13660</v>
      </c>
      <c r="BE166" s="208">
        <v>14050</v>
      </c>
      <c r="BF166" s="208">
        <v>14440</v>
      </c>
      <c r="BG166" s="209">
        <v>17540</v>
      </c>
      <c r="BH166" s="209">
        <v>18030</v>
      </c>
      <c r="BI166" s="209">
        <v>18520</v>
      </c>
      <c r="BK166" s="209">
        <v>17540</v>
      </c>
      <c r="BL166" s="209">
        <v>18520</v>
      </c>
      <c r="BM166" s="209">
        <v>18520</v>
      </c>
      <c r="BO166" s="217" t="str">
        <f>BO167</f>
        <v>SA(PS)</v>
      </c>
      <c r="BP166" s="217">
        <v>7</v>
      </c>
      <c r="BQ166" s="217">
        <f>VLOOKUP(BO166,BO151:BQ165,3,0)</f>
        <v>2</v>
      </c>
      <c r="BU166" s="190"/>
      <c r="BV166" s="202"/>
      <c r="BW166" s="202"/>
      <c r="BX166" s="202"/>
      <c r="BY166" s="202" t="s">
        <v>49</v>
      </c>
      <c r="BZ166" s="191" t="s">
        <v>115</v>
      </c>
      <c r="CK166" s="206">
        <f t="shared" si="2"/>
        <v>41913</v>
      </c>
      <c r="CL166" s="166">
        <f t="shared" si="3"/>
        <v>17540</v>
      </c>
      <c r="CM166" s="166">
        <f t="shared" si="4"/>
      </c>
      <c r="CN166" s="166">
        <f t="shared" si="5"/>
      </c>
      <c r="CO166" s="166">
        <f t="shared" si="6"/>
      </c>
      <c r="CP166" s="166">
        <f t="shared" si="7"/>
        <v>0</v>
      </c>
      <c r="CQ166" s="166">
        <f t="shared" si="8"/>
      </c>
    </row>
    <row r="167" spans="42:95" ht="14.25" hidden="1">
      <c r="AP167" s="192" t="s">
        <v>116</v>
      </c>
      <c r="AS167" s="166">
        <v>5</v>
      </c>
      <c r="AT167" s="166" t="s">
        <v>117</v>
      </c>
      <c r="AX167" s="166">
        <v>2</v>
      </c>
      <c r="AY167" s="166" t="s">
        <v>118</v>
      </c>
      <c r="AZ167" s="166" t="s">
        <v>529</v>
      </c>
      <c r="BA167" s="166">
        <v>20</v>
      </c>
      <c r="BB167" s="166">
        <v>20</v>
      </c>
      <c r="BC167" s="166">
        <v>27</v>
      </c>
      <c r="BD167" s="208">
        <v>14050</v>
      </c>
      <c r="BE167" s="208">
        <v>14440</v>
      </c>
      <c r="BF167" s="208">
        <v>14860</v>
      </c>
      <c r="BG167" s="209">
        <v>18030</v>
      </c>
      <c r="BH167" s="209">
        <v>18520</v>
      </c>
      <c r="BI167" s="209">
        <v>19050</v>
      </c>
      <c r="BK167" s="209">
        <v>18030</v>
      </c>
      <c r="BL167" s="209">
        <v>19050</v>
      </c>
      <c r="BM167" s="209">
        <v>19050</v>
      </c>
      <c r="BN167" s="194">
        <v>9</v>
      </c>
      <c r="BO167" s="166" t="str">
        <f>E9</f>
        <v>SA(PS)</v>
      </c>
      <c r="BQ167" s="166">
        <f>BQ166</f>
        <v>2</v>
      </c>
      <c r="BR167" s="218" t="str">
        <f>VLOOKUP(BN167,BN151:BO165,2,0)</f>
        <v>SA(PS)</v>
      </c>
      <c r="BS167" s="218"/>
      <c r="BU167" s="196"/>
      <c r="BV167" s="211"/>
      <c r="BW167" s="211"/>
      <c r="BX167" s="211"/>
      <c r="BY167" s="211" t="s">
        <v>113</v>
      </c>
      <c r="BZ167" s="197" t="s">
        <v>115</v>
      </c>
      <c r="CK167" s="206">
        <f t="shared" si="2"/>
        <v>41944</v>
      </c>
      <c r="CL167" s="166">
        <f t="shared" si="3"/>
        <v>17540</v>
      </c>
      <c r="CM167" s="166">
        <f t="shared" si="4"/>
      </c>
      <c r="CN167" s="166">
        <f t="shared" si="5"/>
      </c>
      <c r="CO167" s="166">
        <f t="shared" si="6"/>
      </c>
      <c r="CP167" s="166">
        <f t="shared" si="7"/>
        <v>0</v>
      </c>
      <c r="CQ167" s="166">
        <f t="shared" si="8"/>
      </c>
    </row>
    <row r="168" spans="42:95" ht="15" hidden="1" thickBot="1">
      <c r="AP168" s="192" t="s">
        <v>119</v>
      </c>
      <c r="AS168" s="166">
        <v>6</v>
      </c>
      <c r="AT168" s="166" t="s">
        <v>120</v>
      </c>
      <c r="AX168" s="166">
        <v>3</v>
      </c>
      <c r="AY168" s="166" t="s">
        <v>121</v>
      </c>
      <c r="AZ168" s="219">
        <v>2</v>
      </c>
      <c r="BA168" s="166">
        <v>21</v>
      </c>
      <c r="BB168" s="166">
        <v>30</v>
      </c>
      <c r="BC168" s="166">
        <v>28</v>
      </c>
      <c r="BD168" s="208">
        <v>14440</v>
      </c>
      <c r="BE168" s="208">
        <v>14860</v>
      </c>
      <c r="BF168" s="208">
        <v>15280</v>
      </c>
      <c r="BG168" s="209">
        <v>18520</v>
      </c>
      <c r="BH168" s="209">
        <v>19050</v>
      </c>
      <c r="BI168" s="209">
        <v>19580</v>
      </c>
      <c r="BK168" s="209">
        <v>18520</v>
      </c>
      <c r="BL168" s="209">
        <v>19580</v>
      </c>
      <c r="BM168" s="209">
        <v>19580</v>
      </c>
      <c r="BN168" s="166">
        <v>1</v>
      </c>
      <c r="BO168" s="188" t="s">
        <v>11</v>
      </c>
      <c r="BP168" s="200">
        <v>0</v>
      </c>
      <c r="BQ168" s="189"/>
      <c r="BR168" s="218"/>
      <c r="BS168" s="218"/>
      <c r="CK168" s="206">
        <f t="shared" si="2"/>
        <v>41974</v>
      </c>
      <c r="CL168" s="166">
        <f t="shared" si="3"/>
        <v>17540</v>
      </c>
      <c r="CM168" s="166">
        <f t="shared" si="4"/>
      </c>
      <c r="CN168" s="166">
        <f t="shared" si="5"/>
      </c>
      <c r="CO168" s="166">
        <f t="shared" si="6"/>
      </c>
      <c r="CP168" s="166">
        <f t="shared" si="7"/>
        <v>0</v>
      </c>
      <c r="CQ168" s="166">
        <f t="shared" si="8"/>
      </c>
    </row>
    <row r="169" spans="42:95" ht="15" hidden="1" thickBot="1">
      <c r="AP169" s="192" t="s">
        <v>122</v>
      </c>
      <c r="AS169" s="166">
        <v>7</v>
      </c>
      <c r="AT169" s="166" t="s">
        <v>123</v>
      </c>
      <c r="AX169" s="194">
        <v>1</v>
      </c>
      <c r="AY169" s="215" t="str">
        <f>VLOOKUP(AX169,AX166:AY168,2,0)</f>
        <v>Sri.</v>
      </c>
      <c r="BA169" s="166">
        <v>22</v>
      </c>
      <c r="BC169" s="166">
        <v>29</v>
      </c>
      <c r="BD169" s="208">
        <v>14860</v>
      </c>
      <c r="BE169" s="208">
        <v>15280</v>
      </c>
      <c r="BF169" s="208">
        <v>15700</v>
      </c>
      <c r="BG169" s="209">
        <v>19050</v>
      </c>
      <c r="BH169" s="209">
        <v>19580</v>
      </c>
      <c r="BI169" s="209">
        <v>20110</v>
      </c>
      <c r="BK169" s="209">
        <v>19050</v>
      </c>
      <c r="BL169" s="209">
        <v>20110</v>
      </c>
      <c r="BM169" s="209">
        <v>20110</v>
      </c>
      <c r="BN169" s="166">
        <v>2</v>
      </c>
      <c r="BO169" s="190">
        <v>50</v>
      </c>
      <c r="BP169" s="202">
        <v>50</v>
      </c>
      <c r="BQ169" s="220">
        <v>1</v>
      </c>
      <c r="BR169" s="218"/>
      <c r="BS169" s="218"/>
      <c r="CK169" s="206">
        <f t="shared" si="2"/>
        <v>42005</v>
      </c>
      <c r="CL169" s="166">
        <f t="shared" si="3"/>
        <v>17540</v>
      </c>
      <c r="CM169" s="166">
        <f t="shared" si="4"/>
      </c>
      <c r="CN169" s="166">
        <f t="shared" si="5"/>
      </c>
      <c r="CO169" s="166">
        <f t="shared" si="6"/>
      </c>
      <c r="CP169" s="166">
        <f t="shared" si="7"/>
        <v>0</v>
      </c>
      <c r="CQ169" s="166">
        <f t="shared" si="8"/>
      </c>
    </row>
    <row r="170" spans="42:95" ht="15" hidden="1" thickBot="1">
      <c r="AP170" s="192" t="s">
        <v>124</v>
      </c>
      <c r="AS170" s="166">
        <v>8</v>
      </c>
      <c r="AT170" s="166" t="s">
        <v>125</v>
      </c>
      <c r="AY170" s="166">
        <v>1</v>
      </c>
      <c r="AZ170" s="166">
        <v>12</v>
      </c>
      <c r="BA170" s="166">
        <v>23</v>
      </c>
      <c r="BB170" s="221"/>
      <c r="BC170" s="166">
        <v>30</v>
      </c>
      <c r="BD170" s="208">
        <v>15280</v>
      </c>
      <c r="BE170" s="208">
        <v>15700</v>
      </c>
      <c r="BF170" s="208">
        <v>16150</v>
      </c>
      <c r="BG170" s="209">
        <v>19580</v>
      </c>
      <c r="BH170" s="209">
        <v>20110</v>
      </c>
      <c r="BI170" s="209">
        <v>20680</v>
      </c>
      <c r="BK170" s="209">
        <v>19580</v>
      </c>
      <c r="BL170" s="209">
        <v>20680</v>
      </c>
      <c r="BM170" s="209">
        <v>20680</v>
      </c>
      <c r="BN170" s="166">
        <v>3</v>
      </c>
      <c r="BO170" s="190">
        <v>75</v>
      </c>
      <c r="BP170" s="202">
        <v>75</v>
      </c>
      <c r="BQ170" s="222" t="str">
        <f>VLOOKUP(BQ169,BN168:BO171,2,0)</f>
        <v>Not Applicable</v>
      </c>
      <c r="BS170" s="188"/>
      <c r="BT170" s="200"/>
      <c r="BU170" s="200"/>
      <c r="BV170" s="200"/>
      <c r="BW170" s="975" t="s">
        <v>542</v>
      </c>
      <c r="BX170" s="976"/>
      <c r="BY170" s="223"/>
      <c r="BZ170" s="975" t="s">
        <v>540</v>
      </c>
      <c r="CA170" s="977"/>
      <c r="CK170" s="206">
        <f t="shared" si="2"/>
        <v>42036</v>
      </c>
      <c r="CL170" s="166">
        <f t="shared" si="3"/>
        <v>17540</v>
      </c>
      <c r="CM170" s="166">
        <f t="shared" si="4"/>
      </c>
      <c r="CN170" s="166">
        <f t="shared" si="5"/>
      </c>
      <c r="CO170" s="166">
        <f t="shared" si="6"/>
      </c>
      <c r="CP170" s="166">
        <f t="shared" si="7"/>
        <v>0</v>
      </c>
      <c r="CQ170" s="166">
        <f t="shared" si="8"/>
      </c>
    </row>
    <row r="171" spans="42:89" ht="14.25" hidden="1">
      <c r="AP171" s="192" t="s">
        <v>126</v>
      </c>
      <c r="AS171" s="166">
        <v>9</v>
      </c>
      <c r="AT171" s="166" t="s">
        <v>127</v>
      </c>
      <c r="AY171" s="166">
        <v>2</v>
      </c>
      <c r="AZ171" s="166">
        <v>14.5</v>
      </c>
      <c r="BA171" s="166">
        <v>24</v>
      </c>
      <c r="BC171" s="166">
        <v>31</v>
      </c>
      <c r="BD171" s="208">
        <v>15700</v>
      </c>
      <c r="BE171" s="208">
        <v>16150</v>
      </c>
      <c r="BF171" s="208">
        <v>16600</v>
      </c>
      <c r="BG171" s="209">
        <v>20110</v>
      </c>
      <c r="BH171" s="209">
        <v>20680</v>
      </c>
      <c r="BI171" s="209">
        <v>21250</v>
      </c>
      <c r="BK171" s="209">
        <v>20110</v>
      </c>
      <c r="BL171" s="209">
        <v>21250</v>
      </c>
      <c r="BM171" s="209">
        <v>21250</v>
      </c>
      <c r="BN171" s="166">
        <v>4</v>
      </c>
      <c r="BO171" s="190">
        <v>100</v>
      </c>
      <c r="BP171" s="202">
        <v>100</v>
      </c>
      <c r="BQ171" s="191" t="s">
        <v>128</v>
      </c>
      <c r="BS171" s="190"/>
      <c r="BT171" s="202" t="s">
        <v>35</v>
      </c>
      <c r="BU171" s="202"/>
      <c r="BV171" s="202"/>
      <c r="BW171" s="224"/>
      <c r="BX171" s="202"/>
      <c r="BY171" s="225"/>
      <c r="BZ171" s="224">
        <v>1</v>
      </c>
      <c r="CA171" s="225" t="s">
        <v>543</v>
      </c>
      <c r="CK171" s="206"/>
    </row>
    <row r="172" spans="42:79" ht="14.25" hidden="1">
      <c r="AP172" s="192" t="s">
        <v>129</v>
      </c>
      <c r="AS172" s="166">
        <v>10</v>
      </c>
      <c r="AT172" s="166" t="s">
        <v>130</v>
      </c>
      <c r="AY172" s="166">
        <v>3</v>
      </c>
      <c r="AZ172" s="166">
        <v>20</v>
      </c>
      <c r="BA172" s="166">
        <v>25</v>
      </c>
      <c r="BC172" s="166">
        <v>32</v>
      </c>
      <c r="BD172" s="208">
        <v>16150</v>
      </c>
      <c r="BE172" s="208">
        <v>16600</v>
      </c>
      <c r="BF172" s="208">
        <v>17050</v>
      </c>
      <c r="BG172" s="209">
        <v>20680</v>
      </c>
      <c r="BH172" s="209">
        <v>21250</v>
      </c>
      <c r="BI172" s="209">
        <v>21820</v>
      </c>
      <c r="BK172" s="209">
        <v>20680</v>
      </c>
      <c r="BL172" s="209">
        <v>21820</v>
      </c>
      <c r="BM172" s="209">
        <v>21820</v>
      </c>
      <c r="BO172" s="196">
        <f>L11</f>
        <v>0</v>
      </c>
      <c r="BP172" s="211">
        <f>VLOOKUP(BQ170,BO168:BP171,2,0)</f>
        <v>0</v>
      </c>
      <c r="BQ172" s="197">
        <f>IF(BP172=0,"",BP172)</f>
      </c>
      <c r="BR172" s="166">
        <v>1</v>
      </c>
      <c r="BS172" s="188" t="s">
        <v>14</v>
      </c>
      <c r="BT172" s="200">
        <v>0</v>
      </c>
      <c r="BU172" s="226">
        <v>1</v>
      </c>
      <c r="BV172" s="202"/>
      <c r="BW172" s="224">
        <v>1</v>
      </c>
      <c r="BX172" s="202" t="s">
        <v>11</v>
      </c>
      <c r="BY172" s="225"/>
      <c r="BZ172" s="224">
        <v>2</v>
      </c>
      <c r="CA172" s="225" t="s">
        <v>139</v>
      </c>
    </row>
    <row r="173" spans="42:88" ht="14.25" hidden="1">
      <c r="AP173" s="192" t="s">
        <v>62</v>
      </c>
      <c r="AS173" s="166">
        <v>11</v>
      </c>
      <c r="AT173" s="166" t="s">
        <v>131</v>
      </c>
      <c r="AY173" s="166">
        <v>4</v>
      </c>
      <c r="AZ173" s="166">
        <v>30</v>
      </c>
      <c r="BA173" s="166">
        <v>26</v>
      </c>
      <c r="BC173" s="166">
        <v>33</v>
      </c>
      <c r="BD173" s="208">
        <v>16600</v>
      </c>
      <c r="BE173" s="208">
        <v>17050</v>
      </c>
      <c r="BF173" s="208">
        <v>17540</v>
      </c>
      <c r="BG173" s="209">
        <v>21250</v>
      </c>
      <c r="BH173" s="209">
        <v>21820</v>
      </c>
      <c r="BI173" s="209">
        <v>22430</v>
      </c>
      <c r="BK173" s="209">
        <v>21250</v>
      </c>
      <c r="BL173" s="209">
        <v>22430</v>
      </c>
      <c r="BM173" s="209">
        <v>22430</v>
      </c>
      <c r="BN173" s="166">
        <v>1</v>
      </c>
      <c r="BO173" s="188" t="s">
        <v>19</v>
      </c>
      <c r="BP173" s="200"/>
      <c r="BQ173" s="227">
        <f>IF(BQ174=BO173,BU233,IF(BQ174=BO174,0))</f>
        <v>26710</v>
      </c>
      <c r="BR173" s="202">
        <v>2</v>
      </c>
      <c r="BS173" s="190" t="s">
        <v>132</v>
      </c>
      <c r="BT173" s="202">
        <v>900</v>
      </c>
      <c r="BU173" s="191"/>
      <c r="BV173" s="190"/>
      <c r="BW173" s="224">
        <v>2</v>
      </c>
      <c r="BX173" s="202">
        <v>400</v>
      </c>
      <c r="BY173" s="225"/>
      <c r="BZ173" s="224"/>
      <c r="CA173" s="225"/>
      <c r="CD173" s="193"/>
      <c r="CE173" s="193" t="e">
        <f>CF173</f>
        <v>#N/A</v>
      </c>
      <c r="CF173" s="193" t="e">
        <f>#N/A</f>
        <v>#N/A</v>
      </c>
      <c r="CH173" s="974" t="s">
        <v>533</v>
      </c>
      <c r="CI173" s="974" t="s">
        <v>534</v>
      </c>
      <c r="CJ173" s="974" t="s">
        <v>535</v>
      </c>
    </row>
    <row r="174" spans="45:98" ht="14.25" hidden="1">
      <c r="AS174" s="166">
        <v>12</v>
      </c>
      <c r="AT174" s="166" t="s">
        <v>133</v>
      </c>
      <c r="AY174" s="166">
        <v>5</v>
      </c>
      <c r="BA174" s="166">
        <v>27</v>
      </c>
      <c r="BC174" s="166">
        <v>34</v>
      </c>
      <c r="BD174" s="208">
        <v>17050</v>
      </c>
      <c r="BE174" s="208">
        <v>17540</v>
      </c>
      <c r="BF174" s="208">
        <v>18030</v>
      </c>
      <c r="BG174" s="209">
        <v>21820</v>
      </c>
      <c r="BH174" s="209">
        <v>22430</v>
      </c>
      <c r="BI174" s="209">
        <v>23040</v>
      </c>
      <c r="BK174" s="209">
        <v>21820</v>
      </c>
      <c r="BL174" s="209">
        <v>23040</v>
      </c>
      <c r="BM174" s="209">
        <v>23040</v>
      </c>
      <c r="BN174" s="166">
        <v>2</v>
      </c>
      <c r="BO174" s="190" t="s">
        <v>134</v>
      </c>
      <c r="BP174" s="202"/>
      <c r="BQ174" s="228" t="str">
        <f>VLOOKUP(BP175,BN173:BO174,2,0)</f>
        <v>Rented House</v>
      </c>
      <c r="BR174" s="202">
        <v>3</v>
      </c>
      <c r="BS174" s="166" t="s">
        <v>135</v>
      </c>
      <c r="BT174" s="202">
        <f>IF(BS175=BS172,0,900)</f>
        <v>0</v>
      </c>
      <c r="BU174" s="191"/>
      <c r="BV174" s="190"/>
      <c r="BW174" s="224">
        <v>3</v>
      </c>
      <c r="BX174" s="202">
        <v>500</v>
      </c>
      <c r="BY174" s="225"/>
      <c r="BZ174" s="224"/>
      <c r="CA174" s="225"/>
      <c r="CB174" s="166">
        <v>21</v>
      </c>
      <c r="CH174" s="974"/>
      <c r="CI174" s="974"/>
      <c r="CJ174" s="974"/>
      <c r="CP174" s="166">
        <v>1</v>
      </c>
      <c r="CT174" s="166">
        <v>2</v>
      </c>
    </row>
    <row r="175" spans="45:101" ht="14.25" hidden="1">
      <c r="AS175" s="166">
        <v>13</v>
      </c>
      <c r="AT175" s="166" t="s">
        <v>136</v>
      </c>
      <c r="BA175" s="166">
        <v>28</v>
      </c>
      <c r="BC175" s="166">
        <v>35</v>
      </c>
      <c r="BD175" s="208">
        <v>17540</v>
      </c>
      <c r="BE175" s="208">
        <v>18030</v>
      </c>
      <c r="BF175" s="208">
        <v>18520</v>
      </c>
      <c r="BG175" s="209">
        <v>22430</v>
      </c>
      <c r="BH175" s="209">
        <v>23040</v>
      </c>
      <c r="BI175" s="209">
        <v>23650</v>
      </c>
      <c r="BK175" s="209">
        <v>22430</v>
      </c>
      <c r="BL175" s="209">
        <v>23650</v>
      </c>
      <c r="BM175" s="209">
        <v>23650</v>
      </c>
      <c r="BO175" s="196"/>
      <c r="BP175" s="229">
        <v>1</v>
      </c>
      <c r="BQ175" s="197"/>
      <c r="BS175" s="230" t="str">
        <f>VLOOKUP(BU172,BR172:BS174,2,0)</f>
        <v>Not Applicable </v>
      </c>
      <c r="BT175" s="202">
        <f>IF(BT174=0,"",BT174)</f>
      </c>
      <c r="BU175" s="191">
        <f>IF(BT175="","",900)</f>
      </c>
      <c r="BV175" s="190"/>
      <c r="BW175" s="224">
        <v>4</v>
      </c>
      <c r="BX175" s="202">
        <v>600</v>
      </c>
      <c r="BY175" s="225"/>
      <c r="BZ175" s="224"/>
      <c r="CA175" s="231">
        <v>1</v>
      </c>
      <c r="CB175" s="166">
        <v>22</v>
      </c>
      <c r="CD175" s="219">
        <v>12</v>
      </c>
      <c r="CE175" s="219">
        <v>7</v>
      </c>
      <c r="CF175" s="232">
        <f>IF(CE190=1,"",VLOOKUP(CE175,AZ151:BB162,3,FALSE))</f>
      </c>
      <c r="CH175" s="974"/>
      <c r="CI175" s="974"/>
      <c r="CJ175" s="974"/>
      <c r="CK175" s="206">
        <v>41699</v>
      </c>
      <c r="CL175" s="166">
        <f>BP280</f>
        <v>17050</v>
      </c>
      <c r="CM175" s="166">
        <f>IF(AND(CE$188=2,CL175&gt;CI$183,CL175&lt;=CJ$183),CH$177,IF(AND(CE$188=3,CL175&gt;CI$183,CL175&lt;=CJ$183),CI$177,IF(AND(CE$188=4,CL175&gt;CI$183,CL175&lt;=CJ$183),CJ$177,0)))</f>
        <v>0</v>
      </c>
      <c r="CN175" s="166">
        <f>IF(AND(CE$188=2,CL175&gt;CI$184,CL175&lt;=CJ$184),CH$178,IF(AND(CE$188=3,CL175&gt;CI$184,CL175&lt;=CJ$184),CI$178,IF(AND(CE$188=4,CL175&gt;CI$184,CL175&lt;=CJ$184),CJ$178,0)))</f>
        <v>0</v>
      </c>
      <c r="CO175" s="166">
        <f>IF(AND(CE$188=2,CL175&gt;CJ$185),CH$179,IF(AND(CE$188=3,CL175&gt;CJ$185),CI$179,IF(AND(CE$188=4,CL175&gt;CJ$185),CJ$179,0)))</f>
        <v>0</v>
      </c>
      <c r="CP175" s="166">
        <f>MAX(CM175:CO175)</f>
        <v>0</v>
      </c>
      <c r="CQ175" s="166">
        <f>IF(AND(CE$190=2,CL175&gt;CI$183,CL175&lt;=CJ$183),CH$177,IF(AND(CE$190=3,CL175&gt;CI$183,CL175&lt;=CJ$183),CI$177,IF(AND(CE$190=4,CL175&gt;CI$183,CL175&lt;=CJ$183),CJ$177,0)))</f>
        <v>0</v>
      </c>
      <c r="CR175" s="166">
        <f>IF(AND(CE$190=2,CL175&gt;CI$184,CL175&lt;=CJ$184),CH$178,IF(AND(CE$190=3,CL175&gt;CI$184,CL175&lt;=CJ$184),CI$178,IF(AND(CE$190=4,CL175&gt;CI$184,CL175&lt;=CJ$184),CJ$178,0)))</f>
        <v>0</v>
      </c>
      <c r="CS175" s="166">
        <f>IF(AND(CE$190=2,CL175&gt;CJ$185),CH$179,IF(AND(CE$190=3,CL175&gt;CJ$185),CI$179,IF(AND(CE$190=4,CL175&gt;CJ$185),CJ179,0)))</f>
        <v>0</v>
      </c>
      <c r="CT175" s="166">
        <f>MAX(CQ175:CS175)</f>
        <v>0</v>
      </c>
      <c r="CU175" s="166">
        <f>IF(CK175=CF$175,CG$192,CG$189)</f>
        <v>0</v>
      </c>
      <c r="CV175" s="166">
        <f>IF(CK175=CF$175,CG$181,CU175)</f>
        <v>0</v>
      </c>
      <c r="CW175" s="166">
        <f>IF(CV175=0,"",CV175)</f>
      </c>
    </row>
    <row r="176" spans="45:101" ht="14.25" hidden="1">
      <c r="AS176" s="166">
        <v>14</v>
      </c>
      <c r="AT176" s="166" t="s">
        <v>538</v>
      </c>
      <c r="AY176" s="233">
        <v>1</v>
      </c>
      <c r="AZ176" s="234">
        <f>VLOOKUP(AY176,AY170:AZ174,2,0)</f>
        <v>12</v>
      </c>
      <c r="BA176" s="166">
        <v>29</v>
      </c>
      <c r="BC176" s="166">
        <v>36</v>
      </c>
      <c r="BD176" s="208">
        <v>18030</v>
      </c>
      <c r="BE176" s="208">
        <v>18520</v>
      </c>
      <c r="BF176" s="208">
        <v>19050</v>
      </c>
      <c r="BG176" s="209">
        <v>23040</v>
      </c>
      <c r="BH176" s="209">
        <v>23650</v>
      </c>
      <c r="BI176" s="209">
        <v>24300</v>
      </c>
      <c r="BK176" s="209">
        <v>23040</v>
      </c>
      <c r="BL176" s="209">
        <v>24300</v>
      </c>
      <c r="BM176" s="209">
        <v>24300</v>
      </c>
      <c r="BO176" s="188" t="s">
        <v>14</v>
      </c>
      <c r="BP176" s="200"/>
      <c r="BQ176" s="189" t="s">
        <v>137</v>
      </c>
      <c r="BS176" s="235">
        <v>41730</v>
      </c>
      <c r="BT176" s="202">
        <v>23</v>
      </c>
      <c r="BU176" s="191">
        <f>IF(BU$175="","",ROUND(BU$175/30*BT176,0))</f>
      </c>
      <c r="BV176" s="190">
        <f>IF(BU$172=1,"",IF(BU$172=2,BU176,IF(BU$172=3,900)))</f>
      </c>
      <c r="BW176" s="224"/>
      <c r="BX176" s="202"/>
      <c r="BY176" s="225"/>
      <c r="BZ176" s="236"/>
      <c r="CA176" s="237" t="str">
        <f>VLOOKUP(CA175,BZ171:CA172,2,FALSE)</f>
        <v>Not Applicaple</v>
      </c>
      <c r="CB176" s="166">
        <v>23</v>
      </c>
      <c r="CD176" s="166">
        <f>IF(CE190=1,"",MONTH(CF175))</f>
      </c>
      <c r="CE176" s="166">
        <f>IF(CE190=1,"",YEAR(CF175))</f>
      </c>
      <c r="CF176" s="193">
        <f>IF(CE190=1,"",DATE(CE176,CD176,CD175))</f>
      </c>
      <c r="CH176" s="166">
        <v>200</v>
      </c>
      <c r="CI176" s="166">
        <v>120</v>
      </c>
      <c r="CJ176" s="166">
        <v>100</v>
      </c>
      <c r="CK176" s="206">
        <v>41730</v>
      </c>
      <c r="CL176" s="166">
        <f aca="true" t="shared" si="9" ref="CL176:CL186">BP281</f>
        <v>17050</v>
      </c>
      <c r="CM176" s="166">
        <f aca="true" t="shared" si="10" ref="CM176:CM186">IF(AND(CE$188=2,CL176&gt;CI$183,CL176&lt;=CJ$183),CH$177,IF(AND(CE$188=3,CL176&gt;CI$183,CL176&lt;=CJ$183),CI$177,IF(AND(CE$188=4,CL176&gt;CI$183,CL176&lt;=CJ$183),CJ$177,0)))</f>
        <v>0</v>
      </c>
      <c r="CN176" s="166">
        <f aca="true" t="shared" si="11" ref="CN176:CN186">IF(AND(CE$188=2,CL176&gt;CI$184,CL176&lt;=CJ$184),CH$178,IF(AND(CE$188=3,CL176&gt;CI$184,CL176&lt;=CJ$184),CI$178,IF(AND(CE$188=4,CL176&gt;CI$184,CL176&lt;=CJ$184),CJ$178,0)))</f>
        <v>0</v>
      </c>
      <c r="CO176" s="166">
        <f aca="true" t="shared" si="12" ref="CO176:CO186">IF(AND(CE$188=2,CL176&gt;CJ$185),CH$179,IF(AND(CE$188=3,CL176&gt;CJ$185),CI$179,IF(AND(CE$188=4,CL176&gt;CJ$185),CJ$179,0)))</f>
        <v>0</v>
      </c>
      <c r="CP176" s="166">
        <f aca="true" t="shared" si="13" ref="CP176:CP186">MAX(CM176:CO176)</f>
        <v>0</v>
      </c>
      <c r="CQ176" s="166">
        <f aca="true" t="shared" si="14" ref="CQ176:CQ186">IF(AND(CE$190=2,CL176&gt;CI$183,CL176&lt;=CJ$183),CH$177,IF(AND(CE$190=3,CL176&gt;CI$183,CL176&lt;=CJ$183),CI$177,IF(AND(CE$190=4,CL176&gt;CI$183,CL176&lt;=CJ$183),CJ$177,0)))</f>
        <v>0</v>
      </c>
      <c r="CR176" s="166">
        <f aca="true" t="shared" si="15" ref="CR176:CR186">IF(AND(CE$190=2,CL176&gt;CI$184,CL176&lt;=CJ$184),CH$178,IF(AND(CE$190=3,CL176&gt;CI$184,CL176&lt;=CJ$184),CI$178,IF(AND(CE$190=4,CL176&gt;CI$184,CL176&lt;=CJ$184),CJ$178,0)))</f>
        <v>0</v>
      </c>
      <c r="CS176" s="166">
        <f aca="true" t="shared" si="16" ref="CS176:CS186">IF(AND(CE$190=2,CL176&gt;CJ$185),CH$179,IF(AND(CE$190=3,CL176&gt;CJ$185),CI$179,IF(AND(CE$190=4,CL176&gt;CJ$185),CJ180,0)))</f>
        <v>0</v>
      </c>
      <c r="CT176" s="166">
        <f aca="true" t="shared" si="17" ref="CT176:CT186">MAX(CQ176:CS176)</f>
        <v>0</v>
      </c>
      <c r="CU176" s="166">
        <f>IF(CK176=CF$175,CG$192,CU175)</f>
        <v>0</v>
      </c>
      <c r="CV176" s="166">
        <f aca="true" t="shared" si="18" ref="CV176:CV186">IF(CK176=CF$175,CG$181,CU176)</f>
        <v>0</v>
      </c>
      <c r="CW176" s="166">
        <f aca="true" t="shared" si="19" ref="CW176:CW186">IF(CV176=0,"",CV176)</f>
      </c>
    </row>
    <row r="177" spans="45:101" ht="14.25" hidden="1">
      <c r="AS177" s="166">
        <v>15</v>
      </c>
      <c r="AT177" s="166" t="s">
        <v>138</v>
      </c>
      <c r="AY177" s="238">
        <v>2</v>
      </c>
      <c r="AZ177" s="239">
        <f>VLOOKUP(AY177,AY170:AZ173,2,0)</f>
        <v>14.5</v>
      </c>
      <c r="BA177" s="166">
        <v>30</v>
      </c>
      <c r="BC177" s="166">
        <v>37</v>
      </c>
      <c r="BD177" s="208">
        <v>18520</v>
      </c>
      <c r="BE177" s="208">
        <v>19050</v>
      </c>
      <c r="BF177" s="208">
        <v>19580</v>
      </c>
      <c r="BG177" s="209">
        <v>23650</v>
      </c>
      <c r="BH177" s="209">
        <v>24300</v>
      </c>
      <c r="BI177" s="209">
        <v>24950</v>
      </c>
      <c r="BK177" s="209">
        <v>23650</v>
      </c>
      <c r="BL177" s="209">
        <v>24950</v>
      </c>
      <c r="BM177" s="209">
        <v>24950</v>
      </c>
      <c r="BO177" s="190" t="s">
        <v>139</v>
      </c>
      <c r="BP177" s="202"/>
      <c r="BQ177" s="191">
        <f>L21</f>
        <v>0</v>
      </c>
      <c r="BS177" s="235">
        <v>41791</v>
      </c>
      <c r="BT177" s="202">
        <v>18</v>
      </c>
      <c r="BU177" s="191">
        <f>IF(BU$175="","",ROUND(BU$175/30*BT177,0))</f>
      </c>
      <c r="BV177" s="190">
        <f>IF(BU$172=1,"",IF(BU$172=2,BU177,IF(BU$172=3,900)))</f>
      </c>
      <c r="BW177" s="224"/>
      <c r="BX177" s="202"/>
      <c r="BY177" s="225"/>
      <c r="CA177" s="166">
        <f>IF(CA175=2,Bill!J27,0)</f>
        <v>0</v>
      </c>
      <c r="CB177" s="166">
        <v>24</v>
      </c>
      <c r="CD177" s="166">
        <f>CG189</f>
        <v>0</v>
      </c>
      <c r="CE177" s="193">
        <f>IF(CD178="","",CF176)</f>
      </c>
      <c r="CG177" s="166">
        <f>IF(CD178="","",(CG178-CD175+1))</f>
      </c>
      <c r="CH177" s="166">
        <v>300</v>
      </c>
      <c r="CI177" s="166">
        <v>160</v>
      </c>
      <c r="CJ177" s="166">
        <v>120</v>
      </c>
      <c r="CK177" s="206">
        <v>41760</v>
      </c>
      <c r="CL177" s="166">
        <f t="shared" si="9"/>
        <v>17050</v>
      </c>
      <c r="CM177" s="166">
        <f t="shared" si="10"/>
        <v>0</v>
      </c>
      <c r="CN177" s="166">
        <f t="shared" si="11"/>
        <v>0</v>
      </c>
      <c r="CO177" s="166">
        <f t="shared" si="12"/>
        <v>0</v>
      </c>
      <c r="CP177" s="166">
        <f t="shared" si="13"/>
        <v>0</v>
      </c>
      <c r="CQ177" s="166">
        <f t="shared" si="14"/>
        <v>0</v>
      </c>
      <c r="CR177" s="166">
        <f t="shared" si="15"/>
        <v>0</v>
      </c>
      <c r="CS177" s="166">
        <f t="shared" si="16"/>
        <v>0</v>
      </c>
      <c r="CT177" s="166">
        <f t="shared" si="17"/>
        <v>0</v>
      </c>
      <c r="CU177" s="166">
        <f aca="true" t="shared" si="20" ref="CU177:CU186">IF(CK177=CF$175,CG$192,CU176)</f>
        <v>0</v>
      </c>
      <c r="CV177" s="166">
        <f t="shared" si="18"/>
        <v>0</v>
      </c>
      <c r="CW177" s="166">
        <f t="shared" si="19"/>
      </c>
    </row>
    <row r="178" spans="45:101" ht="14.25" hidden="1">
      <c r="AS178" s="166">
        <v>16</v>
      </c>
      <c r="AT178" s="166" t="s">
        <v>140</v>
      </c>
      <c r="BA178" s="166">
        <v>31</v>
      </c>
      <c r="BC178" s="166">
        <v>38</v>
      </c>
      <c r="BD178" s="208">
        <v>19050</v>
      </c>
      <c r="BE178" s="208">
        <v>19580</v>
      </c>
      <c r="BF178" s="208">
        <v>20110</v>
      </c>
      <c r="BG178" s="209">
        <v>24300</v>
      </c>
      <c r="BH178" s="209">
        <v>24950</v>
      </c>
      <c r="BI178" s="209">
        <v>25600</v>
      </c>
      <c r="BK178" s="209">
        <v>24300</v>
      </c>
      <c r="BL178" s="209">
        <v>25600</v>
      </c>
      <c r="BM178" s="209">
        <v>25600</v>
      </c>
      <c r="BO178" s="196"/>
      <c r="BP178" s="211"/>
      <c r="BQ178" s="197">
        <f>IF(BQ177=0,"",BQ177)</f>
      </c>
      <c r="BS178" s="235">
        <v>41913</v>
      </c>
      <c r="BT178" s="202">
        <v>20</v>
      </c>
      <c r="BU178" s="191">
        <f>IF(BU$175="","",ROUND(BU$175/31*BT178,0))</f>
      </c>
      <c r="BV178" s="190">
        <f>IF(BU$172=1,"",IF(BU$172=2,BU178,IF(BU$172=3,900)))</f>
      </c>
      <c r="BW178" s="224"/>
      <c r="BX178" s="240">
        <v>1</v>
      </c>
      <c r="BY178" s="225"/>
      <c r="CB178" s="166">
        <v>25</v>
      </c>
      <c r="CC178" s="232">
        <f>CF175</f>
      </c>
      <c r="CD178" s="166">
        <f>IF(CE190=1,"",CG192)</f>
      </c>
      <c r="CE178" s="193"/>
      <c r="CF178" s="193" t="e">
        <f>CE173</f>
        <v>#N/A</v>
      </c>
      <c r="CG178" s="166">
        <f>IF(CD178="","",DAY(CF178))</f>
      </c>
      <c r="CH178" s="166">
        <v>350</v>
      </c>
      <c r="CI178" s="166">
        <v>220</v>
      </c>
      <c r="CJ178" s="166">
        <v>130</v>
      </c>
      <c r="CK178" s="206">
        <v>41791</v>
      </c>
      <c r="CL178" s="166">
        <f t="shared" si="9"/>
        <v>17050</v>
      </c>
      <c r="CM178" s="166">
        <f t="shared" si="10"/>
        <v>0</v>
      </c>
      <c r="CN178" s="166">
        <f t="shared" si="11"/>
        <v>0</v>
      </c>
      <c r="CO178" s="166">
        <f t="shared" si="12"/>
        <v>0</v>
      </c>
      <c r="CP178" s="166">
        <f t="shared" si="13"/>
        <v>0</v>
      </c>
      <c r="CQ178" s="166">
        <f t="shared" si="14"/>
        <v>0</v>
      </c>
      <c r="CR178" s="166">
        <f t="shared" si="15"/>
        <v>0</v>
      </c>
      <c r="CS178" s="166">
        <f t="shared" si="16"/>
        <v>0</v>
      </c>
      <c r="CT178" s="166">
        <f t="shared" si="17"/>
        <v>0</v>
      </c>
      <c r="CU178" s="166">
        <f t="shared" si="20"/>
        <v>0</v>
      </c>
      <c r="CV178" s="166">
        <f t="shared" si="18"/>
        <v>0</v>
      </c>
      <c r="CW178" s="166">
        <f t="shared" si="19"/>
      </c>
    </row>
    <row r="179" spans="45:101" ht="14.25" hidden="1">
      <c r="AS179" s="166">
        <v>17</v>
      </c>
      <c r="AT179" s="166" t="s">
        <v>141</v>
      </c>
      <c r="BA179" s="166">
        <v>0</v>
      </c>
      <c r="BC179" s="166">
        <v>39</v>
      </c>
      <c r="BD179" s="208">
        <v>19580</v>
      </c>
      <c r="BE179" s="208">
        <v>20110</v>
      </c>
      <c r="BF179" s="208">
        <v>20680</v>
      </c>
      <c r="BG179" s="209">
        <v>24950</v>
      </c>
      <c r="BH179" s="209">
        <v>25600</v>
      </c>
      <c r="BI179" s="209">
        <v>26300</v>
      </c>
      <c r="BK179" s="209">
        <v>24950</v>
      </c>
      <c r="BL179" s="209">
        <v>26300</v>
      </c>
      <c r="BM179" s="209">
        <v>26300</v>
      </c>
      <c r="BN179" s="166">
        <v>1</v>
      </c>
      <c r="BO179" s="188" t="s">
        <v>22</v>
      </c>
      <c r="BP179" s="200"/>
      <c r="BQ179" s="241">
        <v>1</v>
      </c>
      <c r="BS179" s="242">
        <v>42005</v>
      </c>
      <c r="BT179" s="211">
        <v>21</v>
      </c>
      <c r="BU179" s="197">
        <f>IF(BU$175="","",ROUND(BU$175/31*BT179,0))</f>
      </c>
      <c r="BV179" s="196">
        <f>IF(BU$172=1,"",IF(BU$172=2,BU179,IF(BU$172=3,900)))</f>
      </c>
      <c r="BW179" s="236"/>
      <c r="BX179" s="243" t="str">
        <f>VLOOKUP(BX178,BW172:BX175,2,FALSE)</f>
        <v>Not Applicable</v>
      </c>
      <c r="BY179" s="237"/>
      <c r="CB179" s="166">
        <v>26</v>
      </c>
      <c r="CG179" s="166">
        <f>IF(CD178="","",(CG178-CG177))</f>
      </c>
      <c r="CH179" s="166">
        <v>525</v>
      </c>
      <c r="CI179" s="166">
        <v>350</v>
      </c>
      <c r="CJ179" s="166">
        <v>140</v>
      </c>
      <c r="CK179" s="206">
        <v>41821</v>
      </c>
      <c r="CL179" s="166">
        <f t="shared" si="9"/>
        <v>17050</v>
      </c>
      <c r="CM179" s="166">
        <f t="shared" si="10"/>
        <v>0</v>
      </c>
      <c r="CN179" s="166">
        <f t="shared" si="11"/>
        <v>0</v>
      </c>
      <c r="CO179" s="166">
        <f t="shared" si="12"/>
        <v>0</v>
      </c>
      <c r="CP179" s="166">
        <f t="shared" si="13"/>
        <v>0</v>
      </c>
      <c r="CQ179" s="166">
        <f t="shared" si="14"/>
        <v>0</v>
      </c>
      <c r="CR179" s="166">
        <f t="shared" si="15"/>
        <v>0</v>
      </c>
      <c r="CS179" s="166">
        <f t="shared" si="16"/>
        <v>0</v>
      </c>
      <c r="CT179" s="166">
        <f t="shared" si="17"/>
        <v>0</v>
      </c>
      <c r="CU179" s="166">
        <f t="shared" si="20"/>
        <v>0</v>
      </c>
      <c r="CV179" s="166">
        <f t="shared" si="18"/>
        <v>0</v>
      </c>
      <c r="CW179" s="166">
        <f t="shared" si="19"/>
      </c>
    </row>
    <row r="180" spans="45:101" ht="14.25" hidden="1">
      <c r="AS180" s="166">
        <v>18</v>
      </c>
      <c r="AT180" s="166" t="s">
        <v>57</v>
      </c>
      <c r="BB180" s="194">
        <v>31</v>
      </c>
      <c r="BC180" s="166">
        <v>40</v>
      </c>
      <c r="BD180" s="208">
        <v>20110</v>
      </c>
      <c r="BE180" s="208">
        <v>20680</v>
      </c>
      <c r="BF180" s="208">
        <v>21250</v>
      </c>
      <c r="BG180" s="209">
        <v>25600</v>
      </c>
      <c r="BH180" s="209">
        <v>26300</v>
      </c>
      <c r="BI180" s="209">
        <v>27000</v>
      </c>
      <c r="BK180" s="209">
        <v>25600</v>
      </c>
      <c r="BL180" s="209">
        <v>27000</v>
      </c>
      <c r="BM180" s="209">
        <v>27000</v>
      </c>
      <c r="BN180" s="166">
        <v>2</v>
      </c>
      <c r="BO180" s="190" t="s">
        <v>142</v>
      </c>
      <c r="BP180" s="202"/>
      <c r="BQ180" s="191"/>
      <c r="BR180" s="219">
        <v>2</v>
      </c>
      <c r="BT180" s="166">
        <f>IF(BQ179=2,Bill!Q27,0)</f>
        <v>0</v>
      </c>
      <c r="BU180" s="166">
        <f>IF(BR180=1,BT180+BT180,BT180)</f>
        <v>0</v>
      </c>
      <c r="CB180" s="166">
        <v>27</v>
      </c>
      <c r="CC180" s="232">
        <f>CF175</f>
      </c>
      <c r="CD180" s="166">
        <f>IF(CD178="","",VLOOKUP(CC180,BO278:BP291,2,FALSE))</f>
      </c>
      <c r="CE180" s="166">
        <f>CD178</f>
      </c>
      <c r="CF180" s="166">
        <f>IF(CD178="","",ROUND(CD177*CG177/CG178,0))</f>
      </c>
      <c r="CG180" s="166">
        <f>IF(CD178="","",ROUND(CD178*CG179/CG178,0))</f>
      </c>
      <c r="CK180" s="206">
        <v>41852</v>
      </c>
      <c r="CL180" s="166">
        <f t="shared" si="9"/>
        <v>17540</v>
      </c>
      <c r="CM180" s="166">
        <f t="shared" si="10"/>
        <v>0</v>
      </c>
      <c r="CN180" s="166">
        <f t="shared" si="11"/>
        <v>0</v>
      </c>
      <c r="CO180" s="166">
        <f t="shared" si="12"/>
        <v>0</v>
      </c>
      <c r="CP180" s="166">
        <f t="shared" si="13"/>
        <v>0</v>
      </c>
      <c r="CQ180" s="166">
        <f t="shared" si="14"/>
        <v>0</v>
      </c>
      <c r="CR180" s="166">
        <f t="shared" si="15"/>
        <v>0</v>
      </c>
      <c r="CS180" s="166">
        <f t="shared" si="16"/>
        <v>0</v>
      </c>
      <c r="CT180" s="166">
        <f t="shared" si="17"/>
        <v>0</v>
      </c>
      <c r="CU180" s="166">
        <f t="shared" si="20"/>
        <v>0</v>
      </c>
      <c r="CV180" s="166">
        <f t="shared" si="18"/>
        <v>0</v>
      </c>
      <c r="CW180" s="166">
        <f t="shared" si="19"/>
      </c>
    </row>
    <row r="181" spans="45:101" ht="15" hidden="1" thickBot="1">
      <c r="AS181" s="166">
        <v>19</v>
      </c>
      <c r="AT181" s="166" t="s">
        <v>143</v>
      </c>
      <c r="BC181" s="166">
        <v>41</v>
      </c>
      <c r="BD181" s="208">
        <v>20680</v>
      </c>
      <c r="BE181" s="208">
        <v>21250</v>
      </c>
      <c r="BF181" s="208">
        <v>21820</v>
      </c>
      <c r="BG181" s="209">
        <v>26300</v>
      </c>
      <c r="BH181" s="209">
        <v>27000</v>
      </c>
      <c r="BI181" s="209">
        <v>27700</v>
      </c>
      <c r="BK181" s="209">
        <v>26300</v>
      </c>
      <c r="BL181" s="209">
        <v>27700</v>
      </c>
      <c r="BM181" s="209">
        <v>27700</v>
      </c>
      <c r="BO181" s="230" t="str">
        <f>VLOOKUP(BQ179,BN179:BO180,2,0)</f>
        <v>PF</v>
      </c>
      <c r="BP181" s="202" t="str">
        <f>IF(BO181=BO179,"PF",IF(BO181=BO180,"CPS"))</f>
        <v>PF</v>
      </c>
      <c r="BQ181" s="191"/>
      <c r="CB181" s="166">
        <v>28</v>
      </c>
      <c r="CG181" s="166">
        <f>IF(CD178="","",(CF180+CG180))</f>
      </c>
      <c r="CK181" s="206">
        <v>41883</v>
      </c>
      <c r="CL181" s="166">
        <f t="shared" si="9"/>
        <v>17540</v>
      </c>
      <c r="CM181" s="166">
        <f t="shared" si="10"/>
        <v>0</v>
      </c>
      <c r="CN181" s="166">
        <f t="shared" si="11"/>
        <v>0</v>
      </c>
      <c r="CO181" s="166">
        <f t="shared" si="12"/>
        <v>0</v>
      </c>
      <c r="CP181" s="166">
        <f t="shared" si="13"/>
        <v>0</v>
      </c>
      <c r="CQ181" s="166">
        <f t="shared" si="14"/>
        <v>0</v>
      </c>
      <c r="CR181" s="166">
        <f t="shared" si="15"/>
        <v>0</v>
      </c>
      <c r="CS181" s="166">
        <f t="shared" si="16"/>
        <v>0</v>
      </c>
      <c r="CT181" s="166">
        <f t="shared" si="17"/>
        <v>0</v>
      </c>
      <c r="CU181" s="166">
        <f t="shared" si="20"/>
        <v>0</v>
      </c>
      <c r="CV181" s="166">
        <f t="shared" si="18"/>
        <v>0</v>
      </c>
      <c r="CW181" s="166">
        <f t="shared" si="19"/>
      </c>
    </row>
    <row r="182" spans="45:101" ht="14.25" hidden="1">
      <c r="AS182" s="166">
        <v>20</v>
      </c>
      <c r="AT182" s="166" t="s">
        <v>144</v>
      </c>
      <c r="BC182" s="166">
        <v>42</v>
      </c>
      <c r="BD182" s="208">
        <v>21250</v>
      </c>
      <c r="BE182" s="208">
        <v>21820</v>
      </c>
      <c r="BF182" s="208">
        <v>22430</v>
      </c>
      <c r="BG182" s="209">
        <v>27000</v>
      </c>
      <c r="BH182" s="209">
        <v>27700</v>
      </c>
      <c r="BI182" s="209">
        <v>28450</v>
      </c>
      <c r="BK182" s="209">
        <v>27000</v>
      </c>
      <c r="BL182" s="209">
        <v>28450</v>
      </c>
      <c r="BM182" s="209">
        <v>28450</v>
      </c>
      <c r="BN182" s="244">
        <v>1</v>
      </c>
      <c r="BO182" s="245" t="s">
        <v>14</v>
      </c>
      <c r="BP182" s="245"/>
      <c r="BQ182" s="245" t="s">
        <v>145</v>
      </c>
      <c r="BR182" s="246">
        <f>L13</f>
        <v>0</v>
      </c>
      <c r="BS182" s="166">
        <v>2</v>
      </c>
      <c r="BT182" s="166" t="s">
        <v>11</v>
      </c>
      <c r="BV182" s="166">
        <v>1</v>
      </c>
      <c r="BW182" s="166" t="s">
        <v>571</v>
      </c>
      <c r="CB182" s="166">
        <v>29</v>
      </c>
      <c r="CK182" s="206">
        <v>41913</v>
      </c>
      <c r="CL182" s="166">
        <f t="shared" si="9"/>
        <v>17540</v>
      </c>
      <c r="CM182" s="166">
        <f t="shared" si="10"/>
        <v>0</v>
      </c>
      <c r="CN182" s="166">
        <f t="shared" si="11"/>
        <v>0</v>
      </c>
      <c r="CO182" s="166">
        <f t="shared" si="12"/>
        <v>0</v>
      </c>
      <c r="CP182" s="166">
        <f t="shared" si="13"/>
        <v>0</v>
      </c>
      <c r="CQ182" s="166">
        <f t="shared" si="14"/>
        <v>0</v>
      </c>
      <c r="CR182" s="166">
        <f t="shared" si="15"/>
        <v>0</v>
      </c>
      <c r="CS182" s="166">
        <f t="shared" si="16"/>
        <v>0</v>
      </c>
      <c r="CT182" s="166">
        <f t="shared" si="17"/>
        <v>0</v>
      </c>
      <c r="CU182" s="166">
        <f t="shared" si="20"/>
        <v>0</v>
      </c>
      <c r="CV182" s="166">
        <f t="shared" si="18"/>
        <v>0</v>
      </c>
      <c r="CW182" s="166">
        <f t="shared" si="19"/>
      </c>
    </row>
    <row r="183" spans="45:101" ht="14.25" hidden="1">
      <c r="AS183" s="166">
        <v>21</v>
      </c>
      <c r="AT183" s="166" t="s">
        <v>146</v>
      </c>
      <c r="BC183" s="166">
        <v>43</v>
      </c>
      <c r="BD183" s="208">
        <v>21820</v>
      </c>
      <c r="BE183" s="208">
        <v>22430</v>
      </c>
      <c r="BF183" s="208">
        <v>23040</v>
      </c>
      <c r="BG183" s="209">
        <v>27700</v>
      </c>
      <c r="BH183" s="209">
        <v>28450</v>
      </c>
      <c r="BI183" s="209">
        <v>29200</v>
      </c>
      <c r="BK183" s="209">
        <v>27700</v>
      </c>
      <c r="BL183" s="209">
        <v>29200</v>
      </c>
      <c r="BM183" s="209">
        <v>29200</v>
      </c>
      <c r="BN183" s="247">
        <v>2</v>
      </c>
      <c r="BO183" s="202">
        <v>1000</v>
      </c>
      <c r="BP183" s="248">
        <v>1</v>
      </c>
      <c r="BQ183" s="202"/>
      <c r="BR183" s="249">
        <f>IF(BP184=BO182,"",IF(BP184=1000,1000,IF(BP184=2000,2000)))</f>
      </c>
      <c r="BS183" s="166">
        <v>2</v>
      </c>
      <c r="BT183" s="166" t="s">
        <v>564</v>
      </c>
      <c r="BV183" s="166">
        <v>2</v>
      </c>
      <c r="BW183" s="166" t="s">
        <v>572</v>
      </c>
      <c r="CB183" s="166">
        <v>30</v>
      </c>
      <c r="CI183" s="166">
        <v>10900</v>
      </c>
      <c r="CJ183" s="166">
        <v>13270</v>
      </c>
      <c r="CK183" s="206">
        <v>41944</v>
      </c>
      <c r="CL183" s="166">
        <f t="shared" si="9"/>
        <v>17540</v>
      </c>
      <c r="CM183" s="166">
        <f t="shared" si="10"/>
        <v>0</v>
      </c>
      <c r="CN183" s="166">
        <f t="shared" si="11"/>
        <v>0</v>
      </c>
      <c r="CO183" s="166">
        <f t="shared" si="12"/>
        <v>0</v>
      </c>
      <c r="CP183" s="166">
        <f t="shared" si="13"/>
        <v>0</v>
      </c>
      <c r="CQ183" s="166">
        <f t="shared" si="14"/>
        <v>0</v>
      </c>
      <c r="CR183" s="166">
        <f t="shared" si="15"/>
        <v>0</v>
      </c>
      <c r="CS183" s="166">
        <f t="shared" si="16"/>
        <v>0</v>
      </c>
      <c r="CT183" s="166">
        <f t="shared" si="17"/>
        <v>0</v>
      </c>
      <c r="CU183" s="166">
        <f t="shared" si="20"/>
        <v>0</v>
      </c>
      <c r="CV183" s="166">
        <f t="shared" si="18"/>
        <v>0</v>
      </c>
      <c r="CW183" s="166">
        <f t="shared" si="19"/>
      </c>
    </row>
    <row r="184" spans="45:101" ht="15" hidden="1" thickBot="1">
      <c r="AS184" s="166">
        <v>22</v>
      </c>
      <c r="AT184" s="166" t="s">
        <v>147</v>
      </c>
      <c r="BC184" s="166">
        <v>44</v>
      </c>
      <c r="BD184" s="208">
        <v>22430</v>
      </c>
      <c r="BE184" s="208">
        <v>23040</v>
      </c>
      <c r="BF184" s="208">
        <v>23650</v>
      </c>
      <c r="BG184" s="209">
        <v>28450</v>
      </c>
      <c r="BH184" s="209">
        <v>29200</v>
      </c>
      <c r="BI184" s="209">
        <v>29950</v>
      </c>
      <c r="BK184" s="209">
        <v>28450</v>
      </c>
      <c r="BL184" s="209">
        <v>29950</v>
      </c>
      <c r="BM184" s="209">
        <v>29950</v>
      </c>
      <c r="BN184" s="250">
        <v>3</v>
      </c>
      <c r="BO184" s="251">
        <v>2000</v>
      </c>
      <c r="BP184" s="252" t="str">
        <f>VLOOKUP(BP183,BN182:BO184,2,0)</f>
        <v>Not Applicable </v>
      </c>
      <c r="BQ184" s="251">
        <f>IF(BP184=BO182,"",BP184)</f>
      </c>
      <c r="BR184" s="253"/>
      <c r="BS184" s="166">
        <v>3</v>
      </c>
      <c r="BT184" s="166" t="s">
        <v>518</v>
      </c>
      <c r="CB184" s="166">
        <v>31</v>
      </c>
      <c r="CC184" s="166">
        <v>1</v>
      </c>
      <c r="CD184" s="166" t="s">
        <v>11</v>
      </c>
      <c r="CI184" s="166">
        <v>13270</v>
      </c>
      <c r="CJ184" s="166">
        <v>18030</v>
      </c>
      <c r="CK184" s="206">
        <v>41974</v>
      </c>
      <c r="CL184" s="166">
        <f t="shared" si="9"/>
        <v>17540</v>
      </c>
      <c r="CM184" s="166">
        <f t="shared" si="10"/>
        <v>0</v>
      </c>
      <c r="CN184" s="166">
        <f t="shared" si="11"/>
        <v>0</v>
      </c>
      <c r="CO184" s="166">
        <f t="shared" si="12"/>
        <v>0</v>
      </c>
      <c r="CP184" s="166">
        <f t="shared" si="13"/>
        <v>0</v>
      </c>
      <c r="CQ184" s="166">
        <f t="shared" si="14"/>
        <v>0</v>
      </c>
      <c r="CR184" s="166">
        <f t="shared" si="15"/>
        <v>0</v>
      </c>
      <c r="CS184" s="166">
        <f t="shared" si="16"/>
        <v>0</v>
      </c>
      <c r="CT184" s="166">
        <f t="shared" si="17"/>
        <v>0</v>
      </c>
      <c r="CU184" s="166">
        <f t="shared" si="20"/>
        <v>0</v>
      </c>
      <c r="CV184" s="166">
        <f t="shared" si="18"/>
        <v>0</v>
      </c>
      <c r="CW184" s="166">
        <f t="shared" si="19"/>
      </c>
    </row>
    <row r="185" spans="45:101" ht="14.25" hidden="1">
      <c r="AS185" s="166">
        <v>23</v>
      </c>
      <c r="AT185" s="166" t="s">
        <v>148</v>
      </c>
      <c r="AZ185" s="194">
        <v>1</v>
      </c>
      <c r="BA185" s="194">
        <v>1</v>
      </c>
      <c r="BB185" s="194">
        <v>2</v>
      </c>
      <c r="BC185" s="166">
        <v>45</v>
      </c>
      <c r="BD185" s="208">
        <v>23040</v>
      </c>
      <c r="BE185" s="208">
        <v>23650</v>
      </c>
      <c r="BF185" s="208">
        <v>24300</v>
      </c>
      <c r="BG185" s="209">
        <v>29200</v>
      </c>
      <c r="BH185" s="209">
        <v>29950</v>
      </c>
      <c r="BI185" s="209">
        <v>30750</v>
      </c>
      <c r="BK185" s="209">
        <v>29200</v>
      </c>
      <c r="BL185" s="209">
        <v>30750</v>
      </c>
      <c r="BM185" s="209">
        <v>30750</v>
      </c>
      <c r="BS185" s="166">
        <v>4</v>
      </c>
      <c r="BT185" s="166" t="s">
        <v>565</v>
      </c>
      <c r="BW185" s="219">
        <v>1</v>
      </c>
      <c r="CB185" s="166">
        <v>32</v>
      </c>
      <c r="CC185" s="166">
        <v>2</v>
      </c>
      <c r="CD185" s="166" t="s">
        <v>530</v>
      </c>
      <c r="CJ185" s="166">
        <v>18030</v>
      </c>
      <c r="CK185" s="206">
        <v>42005</v>
      </c>
      <c r="CL185" s="166">
        <f t="shared" si="9"/>
        <v>17540</v>
      </c>
      <c r="CM185" s="166">
        <f t="shared" si="10"/>
        <v>0</v>
      </c>
      <c r="CN185" s="166">
        <f t="shared" si="11"/>
        <v>0</v>
      </c>
      <c r="CO185" s="166">
        <f t="shared" si="12"/>
        <v>0</v>
      </c>
      <c r="CP185" s="166">
        <f t="shared" si="13"/>
        <v>0</v>
      </c>
      <c r="CQ185" s="166">
        <f t="shared" si="14"/>
        <v>0</v>
      </c>
      <c r="CR185" s="166">
        <f t="shared" si="15"/>
        <v>0</v>
      </c>
      <c r="CS185" s="166">
        <f t="shared" si="16"/>
        <v>0</v>
      </c>
      <c r="CT185" s="166">
        <f t="shared" si="17"/>
        <v>0</v>
      </c>
      <c r="CU185" s="166">
        <f t="shared" si="20"/>
        <v>0</v>
      </c>
      <c r="CV185" s="166">
        <f t="shared" si="18"/>
        <v>0</v>
      </c>
      <c r="CW185" s="166">
        <f t="shared" si="19"/>
      </c>
    </row>
    <row r="186" spans="43:101" ht="14.25" hidden="1">
      <c r="AQ186" s="233">
        <v>3</v>
      </c>
      <c r="AR186" s="234" t="str">
        <f>VLOOKUP(AQ186,AS$163:AT$185,2,0)</f>
        <v>Tuition Fee for Two children</v>
      </c>
      <c r="AS186" s="233">
        <v>4</v>
      </c>
      <c r="AT186" s="234" t="str">
        <f>VLOOKUP(AS186,AS163:AT185,2,0)</f>
        <v>LIC Policies premium - Yearly</v>
      </c>
      <c r="AZ186" s="166" t="str">
        <f>VLOOKUP(AZ185,AS189:AT202,2,0)</f>
        <v>Interest of Housing Loan</v>
      </c>
      <c r="BC186" s="166">
        <v>46</v>
      </c>
      <c r="BD186" s="208">
        <v>23650</v>
      </c>
      <c r="BE186" s="208">
        <v>24300</v>
      </c>
      <c r="BF186" s="208">
        <v>24950</v>
      </c>
      <c r="BG186" s="209">
        <v>29950</v>
      </c>
      <c r="BH186" s="209">
        <v>30750</v>
      </c>
      <c r="BI186" s="209">
        <v>31550</v>
      </c>
      <c r="BK186" s="209">
        <v>29950</v>
      </c>
      <c r="BL186" s="209">
        <v>31550</v>
      </c>
      <c r="BM186" s="209">
        <v>31550</v>
      </c>
      <c r="BO186" s="166" t="s">
        <v>28</v>
      </c>
      <c r="BW186" s="166" t="str">
        <f>VLOOKUP(BW185,BV182:BW183,2,FALSE)</f>
        <v>Teachers ( Vacation Dept.)</v>
      </c>
      <c r="CB186" s="166">
        <v>33</v>
      </c>
      <c r="CC186" s="166">
        <v>3</v>
      </c>
      <c r="CD186" s="166" t="s">
        <v>531</v>
      </c>
      <c r="CH186" s="254">
        <f>IF(AND(CE$188=2,BP280&gt;CI$183,BP280&lt;=CJ$183),CH$177,IF(AND(CE$188=3,BP280&gt;CI$183,BP280&lt;=CJ$183),CI$177,IF(AND(CE$188=4,BP280&gt;CI$183,BP280&lt;=CJ$183),CJ$177,0)))</f>
        <v>0</v>
      </c>
      <c r="CK186" s="206">
        <v>42036</v>
      </c>
      <c r="CL186" s="166">
        <f t="shared" si="9"/>
        <v>17540</v>
      </c>
      <c r="CM186" s="166">
        <f t="shared" si="10"/>
        <v>0</v>
      </c>
      <c r="CN186" s="166">
        <f t="shared" si="11"/>
        <v>0</v>
      </c>
      <c r="CO186" s="166">
        <f t="shared" si="12"/>
        <v>0</v>
      </c>
      <c r="CP186" s="166">
        <f t="shared" si="13"/>
        <v>0</v>
      </c>
      <c r="CQ186" s="166">
        <f t="shared" si="14"/>
        <v>0</v>
      </c>
      <c r="CR186" s="166">
        <f t="shared" si="15"/>
        <v>0</v>
      </c>
      <c r="CS186" s="166">
        <f t="shared" si="16"/>
        <v>0</v>
      </c>
      <c r="CT186" s="166">
        <f t="shared" si="17"/>
        <v>0</v>
      </c>
      <c r="CU186" s="166">
        <f t="shared" si="20"/>
        <v>0</v>
      </c>
      <c r="CV186" s="166">
        <f t="shared" si="18"/>
        <v>0</v>
      </c>
      <c r="CW186" s="166">
        <f t="shared" si="19"/>
      </c>
    </row>
    <row r="187" spans="43:86" ht="14.25" hidden="1">
      <c r="AQ187" s="233">
        <v>15</v>
      </c>
      <c r="AR187" s="234" t="str">
        <f>VLOOKUP(AQ187,AS$163:AT$185,2,0)</f>
        <v>PLI</v>
      </c>
      <c r="AS187" s="233">
        <v>5</v>
      </c>
      <c r="AT187" s="234" t="str">
        <f>VLOOKUP(AS187,AS163:AT186,2,0)</f>
        <v>Repayment of Home Loan installments</v>
      </c>
      <c r="AZ187" s="166" t="str">
        <f>VLOOKUP(BA185,AR190:AT202,3,0)</f>
        <v>Interest of Educational Loan</v>
      </c>
      <c r="BC187" s="166">
        <v>47</v>
      </c>
      <c r="BD187" s="208">
        <v>24300</v>
      </c>
      <c r="BE187" s="208">
        <v>24950</v>
      </c>
      <c r="BF187" s="208">
        <v>25600</v>
      </c>
      <c r="BG187" s="209">
        <v>30750</v>
      </c>
      <c r="BH187" s="209">
        <v>31550</v>
      </c>
      <c r="BI187" s="209">
        <v>32350</v>
      </c>
      <c r="BK187" s="209">
        <v>30750</v>
      </c>
      <c r="BL187" s="209">
        <v>32350</v>
      </c>
      <c r="BM187" s="209">
        <v>32350</v>
      </c>
      <c r="BO187" s="166" t="s">
        <v>29</v>
      </c>
      <c r="BP187" s="166">
        <v>1</v>
      </c>
      <c r="BT187" s="219">
        <v>1</v>
      </c>
      <c r="CB187" s="166">
        <v>34</v>
      </c>
      <c r="CC187" s="166">
        <v>4</v>
      </c>
      <c r="CD187" s="166" t="s">
        <v>532</v>
      </c>
      <c r="CH187" s="254">
        <f>IF(AND(CE$188=2,BP280&gt;CI$184,BP280&lt;=CJ$184),CH$178,IF(AND(CE$188=3,BP280&gt;CI$184,BP280&lt;=CJ$184),CI$178,IF(AND(CE$188=4,BP280&gt;CI$184,BP280&lt;=CJ$184),CJ$178,0)))</f>
        <v>0</v>
      </c>
    </row>
    <row r="188" spans="52:86" ht="15" hidden="1" thickBot="1">
      <c r="AZ188" s="166" t="str">
        <f>VLOOKUP(BB185,AR190:AT202,3,0)</f>
        <v>Medical treatment of dependent( 40%)</v>
      </c>
      <c r="BC188" s="166">
        <v>48</v>
      </c>
      <c r="BD188" s="208">
        <v>24950</v>
      </c>
      <c r="BE188" s="208">
        <v>25600</v>
      </c>
      <c r="BF188" s="208">
        <v>26300</v>
      </c>
      <c r="BG188" s="209">
        <v>31550</v>
      </c>
      <c r="BH188" s="209">
        <v>32350</v>
      </c>
      <c r="BI188" s="209">
        <v>33200</v>
      </c>
      <c r="BK188" s="209">
        <v>31550</v>
      </c>
      <c r="BL188" s="209">
        <v>33200</v>
      </c>
      <c r="BM188" s="209">
        <v>33200</v>
      </c>
      <c r="BT188" s="166" t="e">
        <f>VLOOKUP(BT187,BS182:BT185,2,FALSE)</f>
        <v>#N/A</v>
      </c>
      <c r="CB188" s="166">
        <v>35</v>
      </c>
      <c r="CE188" s="219">
        <v>1</v>
      </c>
      <c r="CH188" s="254">
        <f>IF(AND(CE$188=2,BP280&gt;CJ$185),CH$179,IF(AND(CE$188=3,BP280&gt;CJ$185),CI$179,IF(AND(CE$188=4,BP280&gt;CJ$185),CJ179,0)))</f>
        <v>0</v>
      </c>
    </row>
    <row r="189" spans="45:102" ht="15" hidden="1" thickBot="1">
      <c r="AS189" s="166">
        <v>1</v>
      </c>
      <c r="AT189" s="166" t="s">
        <v>550</v>
      </c>
      <c r="AV189" s="166">
        <f>IF(BB235=1,"",IF(G$32&lt;=AY189,G$32,IF(G$32&gt;AY189,AY189)))</f>
        <v>0</v>
      </c>
      <c r="AW189" s="166">
        <f aca="true" t="shared" si="21" ref="AW189:AW202">IF(G$33&lt;=AY189,G$33,IF(G$33&gt;AY189,AY189))</f>
        <v>0</v>
      </c>
      <c r="AX189" s="166">
        <v>2</v>
      </c>
      <c r="AY189" s="166">
        <f>AZ210</f>
        <v>200000</v>
      </c>
      <c r="AZ189" s="166">
        <f>IF(G$34&lt;=AY189,G$34,IF(G$34&gt;AY189,AY189))</f>
        <v>0</v>
      </c>
      <c r="BA189" s="166">
        <f>VLOOKUP(AZ186,AT189:AZ202,3,0)</f>
        <v>0</v>
      </c>
      <c r="BC189" s="166">
        <v>49</v>
      </c>
      <c r="BD189" s="208">
        <v>25600</v>
      </c>
      <c r="BE189" s="208">
        <v>26300</v>
      </c>
      <c r="BF189" s="208">
        <v>27000</v>
      </c>
      <c r="BG189" s="209">
        <v>32350</v>
      </c>
      <c r="BH189" s="209">
        <v>33200</v>
      </c>
      <c r="BI189" s="209">
        <v>34050</v>
      </c>
      <c r="BK189" s="209">
        <v>32350</v>
      </c>
      <c r="BL189" s="209">
        <v>34050</v>
      </c>
      <c r="BM189" s="209">
        <v>34050</v>
      </c>
      <c r="BN189" s="244">
        <v>1</v>
      </c>
      <c r="BO189" s="245">
        <v>15</v>
      </c>
      <c r="BP189" s="255" t="s">
        <v>149</v>
      </c>
      <c r="BQ189" s="246"/>
      <c r="CB189" s="166">
        <v>36</v>
      </c>
      <c r="CD189" s="166" t="str">
        <f>VLOOKUP(CE188,CC184:CD187,2,FALSE)</f>
        <v>Not Applicable</v>
      </c>
      <c r="CG189" s="166">
        <f>MAX(CH186:CH188)</f>
        <v>0</v>
      </c>
      <c r="CT189" s="166" t="str">
        <f aca="true" t="shared" si="22" ref="CT189:CU191">BQ250</f>
        <v>Month of Annual Increment after Jan-14</v>
      </c>
      <c r="CU189" s="232">
        <f t="shared" si="22"/>
        <v>41852</v>
      </c>
      <c r="CV189" s="166">
        <f>VLOOKUP(CU189,CK$179:CV$186,12,FALSE)</f>
        <v>0</v>
      </c>
      <c r="CW189" s="166">
        <f>IF(CU189&gt;=CD$201,ROUND(CV189*CE$200%,0),"")</f>
        <v>0</v>
      </c>
      <c r="CX189" s="166">
        <f>IF(CW189="","",ROUND(CW189*BC251/BA254,0))</f>
        <v>0</v>
      </c>
    </row>
    <row r="190" spans="44:102" ht="14.25" hidden="1">
      <c r="AR190" s="166">
        <v>1</v>
      </c>
      <c r="AS190" s="166">
        <v>2</v>
      </c>
      <c r="AT190" s="166" t="s">
        <v>150</v>
      </c>
      <c r="AV190" s="166">
        <f aca="true" t="shared" si="23" ref="AV190:AV202">IF(G$32&lt;=AY190,G$32,IF(G$32&gt;AY190,AY190))</f>
        <v>0</v>
      </c>
      <c r="AW190" s="166">
        <f t="shared" si="21"/>
        <v>0</v>
      </c>
      <c r="AX190" s="166">
        <v>2</v>
      </c>
      <c r="AY190" s="166">
        <v>200000</v>
      </c>
      <c r="AZ190" s="166">
        <f aca="true" t="shared" si="24" ref="AZ190:AZ202">IF(G$34&lt;=AY190,G$34,IF(G$34&gt;AY190,AY190))</f>
        <v>0</v>
      </c>
      <c r="BA190" s="166">
        <f>VLOOKUP(AZ187,AT189:AZ202,4,0)</f>
        <v>0</v>
      </c>
      <c r="BC190" s="166">
        <v>50</v>
      </c>
      <c r="BD190" s="208">
        <v>26300</v>
      </c>
      <c r="BE190" s="208">
        <v>27000</v>
      </c>
      <c r="BF190" s="208">
        <v>27700</v>
      </c>
      <c r="BG190" s="209">
        <v>33200</v>
      </c>
      <c r="BH190" s="209">
        <v>34050</v>
      </c>
      <c r="BI190" s="209">
        <v>34900</v>
      </c>
      <c r="BK190" s="209">
        <v>33200</v>
      </c>
      <c r="BL190" s="209">
        <v>34900</v>
      </c>
      <c r="BM190" s="209">
        <v>34900</v>
      </c>
      <c r="BN190" s="247">
        <v>2</v>
      </c>
      <c r="BO190" s="202">
        <v>30</v>
      </c>
      <c r="BP190" s="220">
        <v>3</v>
      </c>
      <c r="BQ190" s="256">
        <v>3</v>
      </c>
      <c r="CB190" s="166">
        <v>37</v>
      </c>
      <c r="CE190" s="219">
        <v>1</v>
      </c>
      <c r="CH190" s="257">
        <f>IF(AND(CE$190=2,BP280&gt;CI$183,BP280&lt;=CJ$183),CH$177,IF(AND(CE$190=3,BP280&gt;CI$183,BP280&lt;=CJ$183),CI$177,IF(AND(CE$190=4,BP280&gt;CI$183,BP280&lt;=CJ$183),CJ$177,0)))</f>
        <v>0</v>
      </c>
      <c r="CT190" s="166" t="str">
        <f t="shared" si="22"/>
        <v>No Change</v>
      </c>
      <c r="CU190" s="232">
        <f t="shared" si="22"/>
        <v>42036</v>
      </c>
      <c r="CV190" s="166">
        <f>VLOOKUP(CU190,CK$179:CV$186,12,FALSE)</f>
        <v>0</v>
      </c>
      <c r="CW190" s="166">
        <f>IF(CU190&gt;=CD$201,ROUND(CV190*CE$200%,0),"")</f>
        <v>0</v>
      </c>
      <c r="CX190" s="166">
        <f>IF(CW190="","",ROUND(CW190*BC252/BA255,0))</f>
        <v>0</v>
      </c>
    </row>
    <row r="191" spans="44:102" ht="15" hidden="1" thickBot="1">
      <c r="AR191" s="166">
        <v>2</v>
      </c>
      <c r="AS191" s="166">
        <v>3</v>
      </c>
      <c r="AT191" s="166" t="s">
        <v>830</v>
      </c>
      <c r="AV191" s="166">
        <f t="shared" si="23"/>
        <v>0</v>
      </c>
      <c r="AW191" s="166">
        <f t="shared" si="21"/>
        <v>0</v>
      </c>
      <c r="AX191" s="166">
        <v>3</v>
      </c>
      <c r="AY191" s="166">
        <v>50000</v>
      </c>
      <c r="AZ191" s="166">
        <f t="shared" si="24"/>
        <v>0</v>
      </c>
      <c r="BA191" s="166">
        <f>VLOOKUP(AZ188,AT189:AZ202,7,0)</f>
        <v>0</v>
      </c>
      <c r="BC191" s="166">
        <v>51</v>
      </c>
      <c r="BD191" s="208">
        <v>27000</v>
      </c>
      <c r="BE191" s="208">
        <v>27700</v>
      </c>
      <c r="BF191" s="208">
        <v>28450</v>
      </c>
      <c r="BG191" s="209">
        <v>34050</v>
      </c>
      <c r="BH191" s="209">
        <v>34900</v>
      </c>
      <c r="BI191" s="209">
        <v>35800</v>
      </c>
      <c r="BK191" s="209">
        <v>34050</v>
      </c>
      <c r="BL191" s="209">
        <v>35800</v>
      </c>
      <c r="BM191" s="209">
        <v>35800</v>
      </c>
      <c r="BN191" s="247">
        <v>3</v>
      </c>
      <c r="BO191" s="202">
        <v>60</v>
      </c>
      <c r="BP191" s="222">
        <f>VLOOKUP(BP190,BN189:BO192,2,0)</f>
        <v>60</v>
      </c>
      <c r="BQ191" s="258">
        <f>VLOOKUP(BQ190,BN189:BO192,2,0)</f>
        <v>60</v>
      </c>
      <c r="CB191" s="166">
        <v>38</v>
      </c>
      <c r="CD191" s="166" t="str">
        <f>VLOOKUP(CE190,CC184:CD187,2,FALSE)</f>
        <v>Not Applicable</v>
      </c>
      <c r="CH191" s="257">
        <f>IF(AND(CE$190=2,BP280&gt;CI$184,BP280&lt;=CJ$184),CH$178,IF(AND(CE$190=3,BP280&gt;CI$184,BP280&lt;=CJ$184),CI$178,IF(AND(CE$190=4,BP280&gt;CI$184,BP280&lt;=CJ$184),CJ$178,0)))</f>
        <v>0</v>
      </c>
      <c r="CK191" s="232"/>
      <c r="CT191" s="166" t="str">
        <f t="shared" si="22"/>
        <v>No Change</v>
      </c>
      <c r="CU191" s="232">
        <f t="shared" si="22"/>
        <v>42036</v>
      </c>
      <c r="CV191" s="166">
        <f>VLOOKUP(CU191,CK$179:CV$186,12,FALSE)</f>
        <v>0</v>
      </c>
      <c r="CW191" s="166">
        <f>IF(CU191&gt;=CD$201,ROUND(CV191*CE$200%,0),"")</f>
        <v>0</v>
      </c>
      <c r="CX191" s="166">
        <f>IF(CW191="","",ROUND(CW191*BC253/BA256,0))</f>
        <v>0</v>
      </c>
    </row>
    <row r="192" spans="44:89" ht="15" hidden="1" thickBot="1">
      <c r="AR192" s="166">
        <v>3</v>
      </c>
      <c r="AS192" s="166">
        <v>4</v>
      </c>
      <c r="AT192" s="166" t="s">
        <v>831</v>
      </c>
      <c r="AV192" s="166">
        <f t="shared" si="23"/>
        <v>0</v>
      </c>
      <c r="AW192" s="166">
        <f t="shared" si="21"/>
        <v>0</v>
      </c>
      <c r="AX192" s="166">
        <v>3</v>
      </c>
      <c r="AY192" s="166">
        <v>100000</v>
      </c>
      <c r="AZ192" s="166">
        <f t="shared" si="24"/>
        <v>0</v>
      </c>
      <c r="BC192" s="166">
        <v>52</v>
      </c>
      <c r="BD192" s="208">
        <v>27700</v>
      </c>
      <c r="BE192" s="208">
        <v>28450</v>
      </c>
      <c r="BF192" s="208">
        <v>29200</v>
      </c>
      <c r="BG192" s="209">
        <v>34900</v>
      </c>
      <c r="BH192" s="209">
        <v>35800</v>
      </c>
      <c r="BI192" s="209">
        <v>36700</v>
      </c>
      <c r="BK192" s="209">
        <v>34900</v>
      </c>
      <c r="BL192" s="209">
        <v>36700</v>
      </c>
      <c r="BM192" s="209">
        <v>36700</v>
      </c>
      <c r="BN192" s="250">
        <v>4</v>
      </c>
      <c r="BO192" s="251">
        <v>120</v>
      </c>
      <c r="BP192" s="251"/>
      <c r="BQ192" s="253"/>
      <c r="BS192" s="244">
        <v>1</v>
      </c>
      <c r="BT192" s="245">
        <v>0</v>
      </c>
      <c r="BU192" s="245" t="s">
        <v>151</v>
      </c>
      <c r="BV192" s="246"/>
      <c r="CB192" s="166">
        <v>39</v>
      </c>
      <c r="CG192" s="166">
        <f>MAX(CH190:CH192)</f>
        <v>0</v>
      </c>
      <c r="CH192" s="257">
        <f>IF(AND(CE$190=2,BP280&gt;CJ$185),CH$179,IF(AND(CE$190=3,BP280&gt;CJ$185),CI$179,IF(AND(CE$190=4,BP280&gt;CJ$185),CJ179,0)))</f>
        <v>0</v>
      </c>
      <c r="CK192" s="232"/>
    </row>
    <row r="193" spans="44:89" ht="14.25" hidden="1">
      <c r="AR193" s="166">
        <v>4</v>
      </c>
      <c r="AS193" s="166">
        <v>5</v>
      </c>
      <c r="AT193" s="166" t="s">
        <v>152</v>
      </c>
      <c r="AV193" s="166">
        <f t="shared" si="23"/>
        <v>0</v>
      </c>
      <c r="AW193" s="166">
        <f t="shared" si="21"/>
        <v>0</v>
      </c>
      <c r="AX193" s="166">
        <v>1</v>
      </c>
      <c r="AY193" s="166">
        <v>40000</v>
      </c>
      <c r="AZ193" s="166">
        <f t="shared" si="24"/>
        <v>0</v>
      </c>
      <c r="BC193" s="166">
        <v>53</v>
      </c>
      <c r="BD193" s="208">
        <v>28450</v>
      </c>
      <c r="BE193" s="208">
        <v>29200</v>
      </c>
      <c r="BF193" s="208">
        <v>29950</v>
      </c>
      <c r="BG193" s="209">
        <v>35800</v>
      </c>
      <c r="BH193" s="209">
        <v>36700</v>
      </c>
      <c r="BI193" s="209">
        <v>37600</v>
      </c>
      <c r="BK193" s="209">
        <v>35800</v>
      </c>
      <c r="BL193" s="209">
        <v>37600</v>
      </c>
      <c r="BM193" s="209">
        <v>37600</v>
      </c>
      <c r="BS193" s="247">
        <v>2</v>
      </c>
      <c r="BT193" s="202">
        <v>20</v>
      </c>
      <c r="BU193" s="248">
        <v>2</v>
      </c>
      <c r="BV193" s="259">
        <v>2</v>
      </c>
      <c r="CB193" s="166">
        <v>40</v>
      </c>
      <c r="CK193" s="232"/>
    </row>
    <row r="194" spans="44:89" ht="14.25" hidden="1">
      <c r="AR194" s="166">
        <v>5</v>
      </c>
      <c r="AS194" s="166">
        <v>6</v>
      </c>
      <c r="AT194" s="166" t="s">
        <v>61</v>
      </c>
      <c r="AV194" s="166">
        <f t="shared" si="23"/>
        <v>0</v>
      </c>
      <c r="AW194" s="166">
        <f t="shared" si="21"/>
        <v>0</v>
      </c>
      <c r="AX194" s="166">
        <v>1</v>
      </c>
      <c r="AY194" s="166">
        <v>60000</v>
      </c>
      <c r="AZ194" s="166">
        <f t="shared" si="24"/>
        <v>0</v>
      </c>
      <c r="BC194" s="166">
        <v>54</v>
      </c>
      <c r="BD194" s="208">
        <v>29200</v>
      </c>
      <c r="BE194" s="208">
        <v>29950</v>
      </c>
      <c r="BF194" s="208">
        <v>30750</v>
      </c>
      <c r="BG194" s="209">
        <v>36700</v>
      </c>
      <c r="BH194" s="209">
        <v>37600</v>
      </c>
      <c r="BI194" s="209">
        <v>38570</v>
      </c>
      <c r="BK194" s="209">
        <v>36700</v>
      </c>
      <c r="BL194" s="209">
        <v>38570</v>
      </c>
      <c r="BM194" s="209">
        <v>38570</v>
      </c>
      <c r="BS194" s="247">
        <v>3</v>
      </c>
      <c r="BT194" s="202">
        <v>50</v>
      </c>
      <c r="BU194" s="260">
        <f>VLOOKUP(BU193,BS192:BT195,2,0)</f>
        <v>20</v>
      </c>
      <c r="BV194" s="261">
        <f>VLOOKUP(BV193,BS192:BT195,2,0)</f>
        <v>20</v>
      </c>
      <c r="CK194" s="232"/>
    </row>
    <row r="195" spans="44:89" ht="15" hidden="1" thickBot="1">
      <c r="AR195" s="166">
        <v>6</v>
      </c>
      <c r="AS195" s="166">
        <v>7</v>
      </c>
      <c r="AT195" s="166" t="s">
        <v>153</v>
      </c>
      <c r="AV195" s="166">
        <f t="shared" si="23"/>
        <v>0</v>
      </c>
      <c r="AW195" s="166">
        <f t="shared" si="21"/>
        <v>0</v>
      </c>
      <c r="AX195" s="166">
        <v>4</v>
      </c>
      <c r="AY195" s="166">
        <v>15000</v>
      </c>
      <c r="AZ195" s="166">
        <f t="shared" si="24"/>
        <v>0</v>
      </c>
      <c r="BC195" s="166">
        <v>55</v>
      </c>
      <c r="BD195" s="208">
        <v>29950</v>
      </c>
      <c r="BE195" s="208">
        <v>30750</v>
      </c>
      <c r="BF195" s="208">
        <v>31550</v>
      </c>
      <c r="BG195" s="209">
        <v>37600</v>
      </c>
      <c r="BH195" s="209">
        <v>38570</v>
      </c>
      <c r="BI195" s="209">
        <v>39540</v>
      </c>
      <c r="BK195" s="209">
        <v>37600</v>
      </c>
      <c r="BL195" s="209">
        <v>39540</v>
      </c>
      <c r="BM195" s="209">
        <v>39540</v>
      </c>
      <c r="BS195" s="250">
        <v>4</v>
      </c>
      <c r="BT195" s="251">
        <v>150</v>
      </c>
      <c r="BU195" s="251"/>
      <c r="BV195" s="253"/>
      <c r="CK195" s="232"/>
    </row>
    <row r="196" spans="44:89" ht="14.25" hidden="1">
      <c r="AR196" s="166">
        <v>7</v>
      </c>
      <c r="AS196" s="166">
        <v>8</v>
      </c>
      <c r="AT196" s="166" t="s">
        <v>154</v>
      </c>
      <c r="AV196" s="166">
        <f t="shared" si="23"/>
        <v>0</v>
      </c>
      <c r="AW196" s="166">
        <f t="shared" si="21"/>
        <v>0</v>
      </c>
      <c r="AX196" s="166">
        <v>4</v>
      </c>
      <c r="AY196" s="166">
        <v>20000</v>
      </c>
      <c r="AZ196" s="166">
        <f t="shared" si="24"/>
        <v>0</v>
      </c>
      <c r="BC196" s="166">
        <v>56</v>
      </c>
      <c r="BD196" s="208">
        <v>30750</v>
      </c>
      <c r="BE196" s="208">
        <v>31550</v>
      </c>
      <c r="BF196" s="208">
        <v>32350</v>
      </c>
      <c r="BG196" s="209">
        <v>38570</v>
      </c>
      <c r="BH196" s="209">
        <v>39540</v>
      </c>
      <c r="BI196" s="209">
        <v>40510</v>
      </c>
      <c r="BK196" s="209">
        <v>38570</v>
      </c>
      <c r="BL196" s="209">
        <v>40510</v>
      </c>
      <c r="BM196" s="209">
        <v>40510</v>
      </c>
      <c r="BN196" s="166">
        <v>1</v>
      </c>
      <c r="BO196" s="207" t="s">
        <v>155</v>
      </c>
      <c r="CB196" s="166">
        <v>1</v>
      </c>
      <c r="CC196" s="232">
        <v>41821</v>
      </c>
      <c r="CD196" s="262"/>
      <c r="CE196" s="263"/>
      <c r="CF196" s="263"/>
      <c r="CG196" s="223"/>
      <c r="CK196" s="232"/>
    </row>
    <row r="197" spans="44:89" ht="14.25" hidden="1">
      <c r="AR197" s="166">
        <v>8</v>
      </c>
      <c r="AS197" s="166">
        <v>9</v>
      </c>
      <c r="AT197" s="166" t="s">
        <v>60</v>
      </c>
      <c r="AV197" s="166">
        <f t="shared" si="23"/>
        <v>0</v>
      </c>
      <c r="AW197" s="166">
        <f t="shared" si="21"/>
        <v>0</v>
      </c>
      <c r="AX197" s="166">
        <v>5</v>
      </c>
      <c r="AY197" s="166">
        <v>50000</v>
      </c>
      <c r="AZ197" s="166">
        <f t="shared" si="24"/>
        <v>0</v>
      </c>
      <c r="BC197" s="166">
        <v>57</v>
      </c>
      <c r="BD197" s="208">
        <v>31550</v>
      </c>
      <c r="BE197" s="208">
        <v>32350</v>
      </c>
      <c r="BF197" s="208">
        <v>33200</v>
      </c>
      <c r="BG197" s="209">
        <v>39540</v>
      </c>
      <c r="BH197" s="209">
        <v>40510</v>
      </c>
      <c r="BI197" s="209">
        <v>41550</v>
      </c>
      <c r="BK197" s="209">
        <v>39540</v>
      </c>
      <c r="BL197" s="209">
        <v>41550</v>
      </c>
      <c r="BM197" s="209">
        <v>41550</v>
      </c>
      <c r="BN197" s="166">
        <v>2</v>
      </c>
      <c r="BO197" s="227" t="s">
        <v>86</v>
      </c>
      <c r="BP197" s="200"/>
      <c r="BQ197" s="200"/>
      <c r="BR197" s="200"/>
      <c r="BS197" s="189"/>
      <c r="CB197" s="166">
        <v>2</v>
      </c>
      <c r="CC197" s="232">
        <v>41852</v>
      </c>
      <c r="CD197" s="224"/>
      <c r="CE197" s="202"/>
      <c r="CF197" s="202"/>
      <c r="CG197" s="225"/>
      <c r="CK197" s="232"/>
    </row>
    <row r="198" spans="44:105" ht="14.25" hidden="1">
      <c r="AR198" s="166">
        <v>9</v>
      </c>
      <c r="AS198" s="166">
        <v>10</v>
      </c>
      <c r="AT198" s="166" t="s">
        <v>156</v>
      </c>
      <c r="AV198" s="166">
        <f t="shared" si="23"/>
        <v>0</v>
      </c>
      <c r="AW198" s="166">
        <f t="shared" si="21"/>
        <v>0</v>
      </c>
      <c r="AX198" s="166">
        <v>5</v>
      </c>
      <c r="AY198" s="166">
        <v>100000</v>
      </c>
      <c r="AZ198" s="166">
        <f t="shared" si="24"/>
        <v>0</v>
      </c>
      <c r="BB198" s="166" t="s">
        <v>157</v>
      </c>
      <c r="BC198" s="166">
        <v>58</v>
      </c>
      <c r="BD198" s="208">
        <v>32350</v>
      </c>
      <c r="BE198" s="208">
        <v>33200</v>
      </c>
      <c r="BF198" s="208">
        <v>34050</v>
      </c>
      <c r="BG198" s="209">
        <v>40510</v>
      </c>
      <c r="BH198" s="209">
        <v>41550</v>
      </c>
      <c r="BI198" s="209">
        <v>42590</v>
      </c>
      <c r="BK198" s="209">
        <v>40510</v>
      </c>
      <c r="BL198" s="209">
        <v>42590</v>
      </c>
      <c r="BM198" s="209">
        <v>42590</v>
      </c>
      <c r="BN198" s="166">
        <v>3</v>
      </c>
      <c r="BO198" s="264" t="s">
        <v>126</v>
      </c>
      <c r="BP198" s="211"/>
      <c r="BQ198" s="211"/>
      <c r="BR198" s="211"/>
      <c r="BS198" s="197"/>
      <c r="CB198" s="166">
        <v>3</v>
      </c>
      <c r="CC198" s="232">
        <v>41883</v>
      </c>
      <c r="CD198" s="224"/>
      <c r="CE198" s="202"/>
      <c r="CF198" s="202"/>
      <c r="CG198" s="225"/>
      <c r="CK198" s="232"/>
      <c r="CZ198" s="166">
        <v>1</v>
      </c>
      <c r="DA198" s="166" t="e">
        <f>IF(AND(AR251=2,AT245=1),VLOOKUP(AT249,#REF!,2,0),IF(AND(AR251=3,AT245=1),VLOOKUP(AT249,#REF!,2,0),IF(AND(AR251=4,AT245=1),VLOOKUP(AT249,#REF!,2,0),IF(AND(AR251=5,AT245=1),VLOOKUP(AT249,BG149:BH201,2,0),IF(AND(AR251=6,AT245=1),VLOOKUP(AT249,BK149:BL201,2,0),IF(AND(AR251=7,AT245=1),VLOOKUP(AT249,#REF!,2,0),IF(AND(AR251=1,AT245=2),AT249,AT249)))))))</f>
        <v>#REF!</v>
      </c>
    </row>
    <row r="199" spans="41:105" ht="15" hidden="1">
      <c r="AO199" s="500"/>
      <c r="AR199" s="166">
        <v>10</v>
      </c>
      <c r="AS199" s="166">
        <v>11</v>
      </c>
      <c r="AT199" s="166" t="s">
        <v>158</v>
      </c>
      <c r="AV199" s="166">
        <f t="shared" si="23"/>
        <v>0</v>
      </c>
      <c r="AW199" s="166">
        <f t="shared" si="21"/>
        <v>0</v>
      </c>
      <c r="AX199" s="166">
        <v>6</v>
      </c>
      <c r="AY199" s="166">
        <v>500000</v>
      </c>
      <c r="AZ199" s="166">
        <f t="shared" si="24"/>
        <v>0</v>
      </c>
      <c r="BB199" s="265">
        <v>450</v>
      </c>
      <c r="BC199" s="166">
        <v>59</v>
      </c>
      <c r="BD199" s="208">
        <v>33200</v>
      </c>
      <c r="BE199" s="208">
        <v>34050</v>
      </c>
      <c r="BF199" s="208">
        <v>34900</v>
      </c>
      <c r="BG199" s="209">
        <v>41550</v>
      </c>
      <c r="BH199" s="209">
        <v>42590</v>
      </c>
      <c r="BI199" s="209">
        <v>43630</v>
      </c>
      <c r="BK199" s="209">
        <v>41550</v>
      </c>
      <c r="BL199" s="209">
        <v>43630</v>
      </c>
      <c r="BM199" s="209">
        <v>43630</v>
      </c>
      <c r="CB199" s="166">
        <v>4</v>
      </c>
      <c r="CC199" s="232">
        <v>41913</v>
      </c>
      <c r="CD199" s="224"/>
      <c r="CE199" s="266">
        <v>5</v>
      </c>
      <c r="CF199" s="202"/>
      <c r="CG199" s="225"/>
      <c r="CK199" s="232"/>
      <c r="CZ199" s="166">
        <v>2</v>
      </c>
      <c r="DA199" s="166" t="b">
        <f>IF(AND(AR252=2,AV245=1),VLOOKUP(DA198,BD147:BE209,2,0),IF(AND(AR252=3,AV245=1),VLOOKUP(DA198,BD147:BE209,2,0),IF(AND(AR252=4,AV245=1),VLOOKUP(DA198,BD147:BE209,2,0),IF(AND(AR252=5,AV245=1),VLOOKUP(DA198,BG149:BH201,2,0),IF(AND(AR252=6,AV245=1),VLOOKUP(DA198,BK149:BM201,2,0),IF(AND(AR252=7,AV245=1),VLOOKUP(DA198,BD147:BE209,2,0),IF(AND(AR252=1,AV245=2),"")))))))</f>
        <v>0</v>
      </c>
    </row>
    <row r="200" spans="44:105" ht="15" hidden="1">
      <c r="AR200" s="166">
        <v>11</v>
      </c>
      <c r="AS200" s="166">
        <v>12</v>
      </c>
      <c r="AT200" s="166" t="s">
        <v>159</v>
      </c>
      <c r="AV200" s="166">
        <f t="shared" si="23"/>
        <v>0</v>
      </c>
      <c r="AW200" s="166">
        <f t="shared" si="21"/>
        <v>0</v>
      </c>
      <c r="AX200" s="166">
        <v>6</v>
      </c>
      <c r="AY200" s="166">
        <v>250000</v>
      </c>
      <c r="AZ200" s="166">
        <f t="shared" si="24"/>
        <v>0</v>
      </c>
      <c r="BB200" s="267">
        <v>100000</v>
      </c>
      <c r="BC200" s="166">
        <v>60</v>
      </c>
      <c r="BD200" s="208">
        <v>34050</v>
      </c>
      <c r="BE200" s="208">
        <v>34900</v>
      </c>
      <c r="BF200" s="208">
        <v>35800</v>
      </c>
      <c r="BG200" s="209">
        <v>42590</v>
      </c>
      <c r="BH200" s="209">
        <v>43630</v>
      </c>
      <c r="BI200" s="209">
        <v>44740</v>
      </c>
      <c r="BK200" s="209">
        <v>42590</v>
      </c>
      <c r="BL200" s="209">
        <v>44740</v>
      </c>
      <c r="BM200" s="209">
        <v>44740</v>
      </c>
      <c r="CB200" s="166">
        <v>5</v>
      </c>
      <c r="CC200" s="232">
        <v>41944</v>
      </c>
      <c r="CD200" s="268">
        <v>5</v>
      </c>
      <c r="CE200" s="202">
        <v>27</v>
      </c>
      <c r="CF200" s="202"/>
      <c r="CG200" s="225"/>
      <c r="CK200" s="232"/>
      <c r="CZ200" s="166">
        <v>3</v>
      </c>
      <c r="DA200" s="166">
        <f>IF(AND(AR253=2,AX245=1),VLOOKUP(IF(AS252="",AS251,AS252),BD147:BE209,2,0),IF(AND(AR253=3,AX245=1),VLOOKUP(IF(AS252="",AS251,AS252),BD147:BE209,2,0),IF(AND(AR253=4,AX245=1),VLOOKUP(IF(AS252="",AS251,AS252),BD147:BE209,2,0),IF(AND(AR253=5,AX245=1),VLOOKUP(IF(AS252="",AS251,AS252),BG149:BH201,2,0),IF(AND(AR253=6,AX245=1),VLOOKUP(IF(AS252="",AS251,AS252),BK149:BM201,2,0),IF(AND(AR253=7,AX245=1),VLOOKUP(IF(AS252="",AS251,AS252),BD147:BE209,2,0),IF(AND(AR253=1,AX245=2),"",AS251)))))))</f>
        <v>17540</v>
      </c>
    </row>
    <row r="201" spans="44:89" ht="15" hidden="1">
      <c r="AR201" s="166">
        <v>12</v>
      </c>
      <c r="AS201" s="166">
        <v>13</v>
      </c>
      <c r="AT201" s="166" t="s">
        <v>160</v>
      </c>
      <c r="AV201" s="166">
        <f t="shared" si="23"/>
        <v>0</v>
      </c>
      <c r="AW201" s="166">
        <f t="shared" si="21"/>
        <v>0</v>
      </c>
      <c r="AX201" s="166">
        <v>6</v>
      </c>
      <c r="AY201" s="166">
        <v>500000</v>
      </c>
      <c r="AZ201" s="166">
        <f t="shared" si="24"/>
        <v>0</v>
      </c>
      <c r="BB201" s="267">
        <v>100000</v>
      </c>
      <c r="BC201" s="166">
        <v>61</v>
      </c>
      <c r="BD201" s="208">
        <v>34900</v>
      </c>
      <c r="BE201" s="208">
        <v>35800</v>
      </c>
      <c r="BF201" s="208">
        <v>36700</v>
      </c>
      <c r="BG201" s="209">
        <v>43630</v>
      </c>
      <c r="BH201" s="209">
        <v>44740</v>
      </c>
      <c r="BI201" s="207">
        <v>45850</v>
      </c>
      <c r="BK201" s="209">
        <v>43630</v>
      </c>
      <c r="BL201" s="209">
        <v>45850</v>
      </c>
      <c r="BM201" s="209">
        <v>45850</v>
      </c>
      <c r="CB201" s="166">
        <v>6</v>
      </c>
      <c r="CC201" s="232">
        <v>41974</v>
      </c>
      <c r="CD201" s="269">
        <v>41640</v>
      </c>
      <c r="CE201" s="345">
        <f>VLOOKUP(CD200,CB196:CC204,2,FALSE)</f>
        <v>41944</v>
      </c>
      <c r="CF201" s="202"/>
      <c r="CG201" s="225"/>
      <c r="CK201" s="232"/>
    </row>
    <row r="202" spans="44:89" ht="15" hidden="1">
      <c r="AR202" s="166">
        <v>13</v>
      </c>
      <c r="AS202" s="166">
        <v>14</v>
      </c>
      <c r="AT202" s="166" t="s">
        <v>161</v>
      </c>
      <c r="AV202" s="166">
        <f t="shared" si="23"/>
        <v>0</v>
      </c>
      <c r="AW202" s="166">
        <f t="shared" si="21"/>
        <v>0</v>
      </c>
      <c r="AX202" s="166">
        <v>7</v>
      </c>
      <c r="AY202" s="166">
        <v>500000</v>
      </c>
      <c r="AZ202" s="166">
        <f t="shared" si="24"/>
        <v>0</v>
      </c>
      <c r="BB202" s="267">
        <v>100000</v>
      </c>
      <c r="BC202" s="166">
        <v>62</v>
      </c>
      <c r="BD202" s="208">
        <v>35800</v>
      </c>
      <c r="BE202" s="208">
        <v>36700</v>
      </c>
      <c r="BF202" s="208">
        <v>37600</v>
      </c>
      <c r="BG202" s="270"/>
      <c r="BH202" s="270"/>
      <c r="BI202" s="270"/>
      <c r="BK202" s="270"/>
      <c r="BL202" s="270"/>
      <c r="BM202" s="270"/>
      <c r="CB202" s="166">
        <v>7</v>
      </c>
      <c r="CC202" s="232">
        <v>42005</v>
      </c>
      <c r="CD202" s="224"/>
      <c r="CE202" s="202"/>
      <c r="CF202" s="202"/>
      <c r="CG202" s="225"/>
      <c r="CK202" s="232"/>
    </row>
    <row r="203" spans="54:85" ht="15" hidden="1">
      <c r="BB203" s="267">
        <v>100000</v>
      </c>
      <c r="BC203" s="166">
        <v>63</v>
      </c>
      <c r="BD203" s="208">
        <v>36700</v>
      </c>
      <c r="BE203" s="208">
        <v>37600</v>
      </c>
      <c r="BF203" s="208">
        <v>38570</v>
      </c>
      <c r="BK203" s="271"/>
      <c r="BL203" s="271"/>
      <c r="BM203" s="271"/>
      <c r="CB203" s="166">
        <v>8</v>
      </c>
      <c r="CC203" s="232">
        <v>42036</v>
      </c>
      <c r="CD203" s="224"/>
      <c r="CE203" s="202"/>
      <c r="CF203" s="202"/>
      <c r="CG203" s="225"/>
    </row>
    <row r="204" spans="47:85" ht="15" hidden="1">
      <c r="AU204" s="188" t="str">
        <f>C30</f>
        <v>Any Other Entry</v>
      </c>
      <c r="AV204" s="200"/>
      <c r="AW204" s="200">
        <v>20000</v>
      </c>
      <c r="AX204" s="189">
        <f>G30</f>
        <v>0</v>
      </c>
      <c r="BB204" s="267">
        <v>100000</v>
      </c>
      <c r="BC204" s="166">
        <v>64</v>
      </c>
      <c r="BD204" s="208">
        <v>37600</v>
      </c>
      <c r="BE204" s="208">
        <v>38570</v>
      </c>
      <c r="BF204" s="208">
        <v>39540</v>
      </c>
      <c r="CB204" s="166">
        <v>9</v>
      </c>
      <c r="CC204" s="232" t="s">
        <v>539</v>
      </c>
      <c r="CD204" s="236"/>
      <c r="CE204" s="243"/>
      <c r="CF204" s="243"/>
      <c r="CG204" s="237"/>
    </row>
    <row r="205" spans="47:58" ht="15" hidden="1">
      <c r="AU205" s="196"/>
      <c r="AV205" s="211"/>
      <c r="AW205" s="211">
        <f>IF(G30&lt;=AW204,AX204,IF(G30&gt;AW204,AW204))</f>
        <v>0</v>
      </c>
      <c r="AX205" s="197"/>
      <c r="BB205" s="267">
        <v>100000</v>
      </c>
      <c r="BC205" s="166">
        <v>65</v>
      </c>
      <c r="BD205" s="208">
        <v>38570</v>
      </c>
      <c r="BE205" s="208">
        <v>39540</v>
      </c>
      <c r="BF205" s="208">
        <v>40510</v>
      </c>
    </row>
    <row r="206" spans="54:58" ht="15" hidden="1">
      <c r="BB206" s="267">
        <v>100000</v>
      </c>
      <c r="BC206" s="166">
        <v>66</v>
      </c>
      <c r="BD206" s="208">
        <v>39540</v>
      </c>
      <c r="BE206" s="208">
        <v>40510</v>
      </c>
      <c r="BF206" s="208">
        <v>41550</v>
      </c>
    </row>
    <row r="207" spans="43:58" ht="15" hidden="1">
      <c r="AQ207" s="501"/>
      <c r="AT207" s="188">
        <v>2</v>
      </c>
      <c r="AU207" s="200" t="s">
        <v>162</v>
      </c>
      <c r="AV207" s="200">
        <f>VLOOKUP(AZ186,AT189:AX202,5,0)</f>
        <v>2</v>
      </c>
      <c r="AW207" s="189" t="str">
        <f>VLOOKUP(AV207,AT$207:AU$213,2,0)</f>
        <v>80E</v>
      </c>
      <c r="BB207" s="267">
        <v>100000</v>
      </c>
      <c r="BC207" s="166">
        <v>67</v>
      </c>
      <c r="BD207" s="208">
        <v>40510</v>
      </c>
      <c r="BE207" s="208">
        <v>41550</v>
      </c>
      <c r="BF207" s="353">
        <v>42590</v>
      </c>
    </row>
    <row r="208" spans="46:58" ht="15" hidden="1">
      <c r="AT208" s="190">
        <v>3</v>
      </c>
      <c r="AU208" s="202" t="s">
        <v>163</v>
      </c>
      <c r="AV208" s="202">
        <f>VLOOKUP(AZ187,AT189:AY202,5,0)</f>
        <v>2</v>
      </c>
      <c r="AW208" s="191" t="str">
        <f>VLOOKUP(AV208,AT$207:AU$213,2,0)</f>
        <v>80E</v>
      </c>
      <c r="BB208" s="267"/>
      <c r="BC208" s="166">
        <v>68</v>
      </c>
      <c r="BD208" s="208">
        <v>41550</v>
      </c>
      <c r="BE208" s="352">
        <v>42590</v>
      </c>
      <c r="BF208" s="350">
        <v>43630</v>
      </c>
    </row>
    <row r="209" spans="46:58" ht="15" hidden="1">
      <c r="AT209" s="190">
        <v>4</v>
      </c>
      <c r="AU209" s="202" t="s">
        <v>164</v>
      </c>
      <c r="AV209" s="202">
        <f>VLOOKUP(AZ188,AT189:AY202,5,0)</f>
        <v>3</v>
      </c>
      <c r="AW209" s="191" t="str">
        <f>VLOOKUP(AV209,AT$207:AU$213,2,0)</f>
        <v>80DD</v>
      </c>
      <c r="AZ209" s="447">
        <v>2</v>
      </c>
      <c r="BB209" s="272">
        <v>150000</v>
      </c>
      <c r="BC209" s="166">
        <v>69</v>
      </c>
      <c r="BD209" s="208">
        <v>42590</v>
      </c>
      <c r="BE209" s="351">
        <v>43630</v>
      </c>
      <c r="BF209" s="350">
        <v>44740</v>
      </c>
    </row>
    <row r="210" spans="46:58" ht="14.25" hidden="1">
      <c r="AT210" s="190">
        <v>5</v>
      </c>
      <c r="AU210" s="202" t="s">
        <v>165</v>
      </c>
      <c r="AV210" s="202"/>
      <c r="AW210" s="191"/>
      <c r="AZ210" s="166">
        <f>IF(AZ209=1,300000,200000)</f>
        <v>200000</v>
      </c>
      <c r="BC210" s="166">
        <v>70</v>
      </c>
      <c r="BD210" s="454">
        <v>43630</v>
      </c>
      <c r="BE210" s="454">
        <v>44740</v>
      </c>
      <c r="BF210" s="455">
        <v>45850</v>
      </c>
    </row>
    <row r="211" spans="46:156" ht="14.25" hidden="1">
      <c r="AT211" s="190">
        <v>6</v>
      </c>
      <c r="AU211" s="202" t="s">
        <v>166</v>
      </c>
      <c r="AV211" s="202"/>
      <c r="AW211" s="191"/>
      <c r="BC211" s="166">
        <v>71</v>
      </c>
      <c r="BD211" s="454">
        <v>44740</v>
      </c>
      <c r="BE211" s="455">
        <v>45850</v>
      </c>
      <c r="BF211" s="454">
        <v>46960</v>
      </c>
      <c r="BH211" s="166">
        <v>0</v>
      </c>
      <c r="BI211" s="166">
        <v>1</v>
      </c>
      <c r="BJ211" s="166">
        <v>2</v>
      </c>
      <c r="BK211" s="166">
        <v>3</v>
      </c>
      <c r="BL211" s="166">
        <v>4</v>
      </c>
      <c r="BM211" s="166">
        <v>5</v>
      </c>
      <c r="BN211" s="166">
        <v>6</v>
      </c>
      <c r="BO211" s="166">
        <v>7</v>
      </c>
      <c r="BP211" s="166">
        <v>8</v>
      </c>
      <c r="BQ211" s="166">
        <v>9</v>
      </c>
      <c r="BR211" s="166">
        <v>10</v>
      </c>
      <c r="BS211" s="166">
        <v>11</v>
      </c>
      <c r="BT211" s="166">
        <v>12</v>
      </c>
      <c r="BU211" s="166">
        <v>13</v>
      </c>
      <c r="BV211" s="166">
        <v>14</v>
      </c>
      <c r="BW211" s="166">
        <v>15</v>
      </c>
      <c r="BX211" s="166">
        <v>16</v>
      </c>
      <c r="BY211" s="166">
        <v>17</v>
      </c>
      <c r="BZ211" s="166">
        <v>18</v>
      </c>
      <c r="CA211" s="166">
        <v>19</v>
      </c>
      <c r="CB211" s="166">
        <v>20</v>
      </c>
      <c r="CC211" s="166">
        <v>21</v>
      </c>
      <c r="CD211" s="166">
        <v>22</v>
      </c>
      <c r="CE211" s="166">
        <v>23</v>
      </c>
      <c r="CF211" s="166">
        <v>24</v>
      </c>
      <c r="CG211" s="166">
        <v>25</v>
      </c>
      <c r="CH211" s="166">
        <v>26</v>
      </c>
      <c r="CI211" s="166">
        <v>27</v>
      </c>
      <c r="CJ211" s="166">
        <v>28</v>
      </c>
      <c r="CK211" s="166">
        <v>29</v>
      </c>
      <c r="CL211" s="166">
        <v>30</v>
      </c>
      <c r="CM211" s="166">
        <v>31</v>
      </c>
      <c r="CN211" s="166">
        <v>32</v>
      </c>
      <c r="CO211" s="166">
        <v>33</v>
      </c>
      <c r="CP211" s="166">
        <v>34</v>
      </c>
      <c r="CQ211" s="166">
        <v>35</v>
      </c>
      <c r="CR211" s="166">
        <v>36</v>
      </c>
      <c r="CS211" s="166">
        <v>37</v>
      </c>
      <c r="CT211" s="166">
        <v>38</v>
      </c>
      <c r="CU211" s="166">
        <v>39</v>
      </c>
      <c r="CV211" s="166">
        <v>40</v>
      </c>
      <c r="CW211" s="166">
        <v>41</v>
      </c>
      <c r="CX211" s="166">
        <v>42</v>
      </c>
      <c r="CY211" s="166">
        <v>43</v>
      </c>
      <c r="CZ211" s="166">
        <v>44</v>
      </c>
      <c r="DA211" s="166">
        <v>45</v>
      </c>
      <c r="DB211" s="166">
        <v>49</v>
      </c>
      <c r="DC211" s="166">
        <v>50</v>
      </c>
      <c r="DD211" s="166">
        <v>51</v>
      </c>
      <c r="DE211" s="166">
        <v>52</v>
      </c>
      <c r="DF211" s="166">
        <v>53</v>
      </c>
      <c r="DG211" s="166">
        <v>54</v>
      </c>
      <c r="DH211" s="166">
        <v>55</v>
      </c>
      <c r="DI211" s="166">
        <v>56</v>
      </c>
      <c r="DJ211" s="166">
        <v>57</v>
      </c>
      <c r="DK211" s="166">
        <v>58</v>
      </c>
      <c r="DL211" s="166">
        <v>59</v>
      </c>
      <c r="DM211" s="166">
        <v>60</v>
      </c>
      <c r="DN211" s="166">
        <v>61</v>
      </c>
      <c r="DO211" s="166">
        <v>62</v>
      </c>
      <c r="DP211" s="166">
        <v>63</v>
      </c>
      <c r="DQ211" s="166">
        <v>64</v>
      </c>
      <c r="DR211" s="166">
        <v>65</v>
      </c>
      <c r="DS211" s="166">
        <v>66</v>
      </c>
      <c r="DT211" s="166">
        <v>67</v>
      </c>
      <c r="DU211" s="166">
        <v>68</v>
      </c>
      <c r="DV211" s="166">
        <v>69</v>
      </c>
      <c r="DW211" s="166">
        <v>70</v>
      </c>
      <c r="DX211" s="166">
        <v>71</v>
      </c>
      <c r="DY211" s="166">
        <v>72</v>
      </c>
      <c r="DZ211" s="166">
        <v>73</v>
      </c>
      <c r="EA211" s="166">
        <v>74</v>
      </c>
      <c r="EB211" s="166">
        <v>75</v>
      </c>
      <c r="EC211" s="166">
        <v>76</v>
      </c>
      <c r="ED211" s="166">
        <v>77</v>
      </c>
      <c r="EE211" s="166">
        <v>78</v>
      </c>
      <c r="EF211" s="166">
        <v>79</v>
      </c>
      <c r="EG211" s="166">
        <v>80</v>
      </c>
      <c r="EH211" s="166">
        <v>81</v>
      </c>
      <c r="EI211" s="166">
        <v>82</v>
      </c>
      <c r="EJ211" s="166">
        <v>83</v>
      </c>
      <c r="EK211" s="166">
        <v>84</v>
      </c>
      <c r="EL211" s="166">
        <v>85</v>
      </c>
      <c r="EM211" s="166">
        <v>86</v>
      </c>
      <c r="EN211" s="166">
        <v>87</v>
      </c>
      <c r="EO211" s="166">
        <v>88</v>
      </c>
      <c r="EP211" s="166">
        <v>89</v>
      </c>
      <c r="EQ211" s="166">
        <v>90</v>
      </c>
      <c r="ER211" s="166">
        <v>91</v>
      </c>
      <c r="ES211" s="166">
        <v>92</v>
      </c>
      <c r="ET211" s="166">
        <v>93</v>
      </c>
      <c r="EU211" s="166">
        <v>94</v>
      </c>
      <c r="EV211" s="166">
        <v>95</v>
      </c>
      <c r="EW211" s="166">
        <v>96</v>
      </c>
      <c r="EX211" s="166">
        <v>97</v>
      </c>
      <c r="EY211" s="166">
        <v>98</v>
      </c>
      <c r="EZ211" s="166">
        <v>99</v>
      </c>
    </row>
    <row r="212" spans="46:156" ht="14.25" hidden="1">
      <c r="AT212" s="196">
        <v>7</v>
      </c>
      <c r="AU212" s="211" t="s">
        <v>167</v>
      </c>
      <c r="AV212" s="211"/>
      <c r="AW212" s="197"/>
      <c r="BC212" s="166">
        <v>72</v>
      </c>
      <c r="BD212" s="455">
        <v>45850</v>
      </c>
      <c r="BE212" s="454">
        <v>46960</v>
      </c>
      <c r="BF212" s="455">
        <v>48070</v>
      </c>
      <c r="BH212" s="166" t="s">
        <v>168</v>
      </c>
      <c r="BI212" s="166" t="s">
        <v>169</v>
      </c>
      <c r="BJ212" s="166" t="s">
        <v>170</v>
      </c>
      <c r="BK212" s="166" t="s">
        <v>171</v>
      </c>
      <c r="BL212" s="166" t="s">
        <v>172</v>
      </c>
      <c r="BM212" s="166" t="s">
        <v>173</v>
      </c>
      <c r="BN212" s="166" t="s">
        <v>174</v>
      </c>
      <c r="BO212" s="166" t="s">
        <v>175</v>
      </c>
      <c r="BP212" s="166" t="s">
        <v>176</v>
      </c>
      <c r="BQ212" s="166" t="s">
        <v>177</v>
      </c>
      <c r="BR212" s="166" t="s">
        <v>178</v>
      </c>
      <c r="BS212" s="166" t="s">
        <v>179</v>
      </c>
      <c r="BT212" s="166" t="s">
        <v>180</v>
      </c>
      <c r="BU212" s="166" t="s">
        <v>181</v>
      </c>
      <c r="BV212" s="166" t="s">
        <v>182</v>
      </c>
      <c r="BW212" s="166" t="s">
        <v>183</v>
      </c>
      <c r="BX212" s="166" t="s">
        <v>184</v>
      </c>
      <c r="BY212" s="166" t="s">
        <v>185</v>
      </c>
      <c r="BZ212" s="166" t="s">
        <v>186</v>
      </c>
      <c r="CA212" s="166" t="s">
        <v>187</v>
      </c>
      <c r="CB212" s="166" t="s">
        <v>188</v>
      </c>
      <c r="CC212" s="166" t="s">
        <v>189</v>
      </c>
      <c r="CD212" s="166" t="s">
        <v>190</v>
      </c>
      <c r="CE212" s="166" t="s">
        <v>191</v>
      </c>
      <c r="CF212" s="166" t="s">
        <v>192</v>
      </c>
      <c r="CG212" s="166" t="s">
        <v>193</v>
      </c>
      <c r="CH212" s="166" t="s">
        <v>194</v>
      </c>
      <c r="CI212" s="166" t="s">
        <v>195</v>
      </c>
      <c r="CJ212" s="166" t="s">
        <v>196</v>
      </c>
      <c r="CK212" s="166" t="s">
        <v>197</v>
      </c>
      <c r="CL212" s="166" t="s">
        <v>198</v>
      </c>
      <c r="CM212" s="166" t="s">
        <v>199</v>
      </c>
      <c r="CN212" s="166" t="s">
        <v>200</v>
      </c>
      <c r="CO212" s="166" t="s">
        <v>201</v>
      </c>
      <c r="CP212" s="166" t="s">
        <v>202</v>
      </c>
      <c r="CQ212" s="166" t="s">
        <v>203</v>
      </c>
      <c r="CR212" s="166" t="s">
        <v>204</v>
      </c>
      <c r="CS212" s="166" t="s">
        <v>205</v>
      </c>
      <c r="CT212" s="166" t="s">
        <v>206</v>
      </c>
      <c r="CU212" s="166" t="s">
        <v>207</v>
      </c>
      <c r="CV212" s="166" t="s">
        <v>208</v>
      </c>
      <c r="CW212" s="166" t="s">
        <v>209</v>
      </c>
      <c r="CX212" s="166" t="s">
        <v>210</v>
      </c>
      <c r="CY212" s="166" t="s">
        <v>211</v>
      </c>
      <c r="CZ212" s="166" t="s">
        <v>212</v>
      </c>
      <c r="DA212" s="166" t="s">
        <v>213</v>
      </c>
      <c r="DB212" s="166" t="s">
        <v>217</v>
      </c>
      <c r="DC212" s="166" t="s">
        <v>218</v>
      </c>
      <c r="DD212" s="166" t="s">
        <v>219</v>
      </c>
      <c r="DE212" s="166" t="s">
        <v>220</v>
      </c>
      <c r="DF212" s="166" t="s">
        <v>221</v>
      </c>
      <c r="DG212" s="166" t="s">
        <v>222</v>
      </c>
      <c r="DH212" s="166" t="s">
        <v>223</v>
      </c>
      <c r="DI212" s="166" t="s">
        <v>224</v>
      </c>
      <c r="DJ212" s="166" t="s">
        <v>225</v>
      </c>
      <c r="DK212" s="166" t="s">
        <v>226</v>
      </c>
      <c r="DL212" s="166" t="s">
        <v>227</v>
      </c>
      <c r="DM212" s="166" t="s">
        <v>228</v>
      </c>
      <c r="DN212" s="166" t="s">
        <v>229</v>
      </c>
      <c r="DO212" s="166" t="s">
        <v>230</v>
      </c>
      <c r="DP212" s="166" t="s">
        <v>231</v>
      </c>
      <c r="DQ212" s="166" t="s">
        <v>232</v>
      </c>
      <c r="DR212" s="166" t="s">
        <v>233</v>
      </c>
      <c r="DS212" s="166" t="s">
        <v>234</v>
      </c>
      <c r="DT212" s="166" t="s">
        <v>235</v>
      </c>
      <c r="DU212" s="166" t="s">
        <v>236</v>
      </c>
      <c r="DV212" s="166" t="s">
        <v>237</v>
      </c>
      <c r="DW212" s="166" t="s">
        <v>238</v>
      </c>
      <c r="DX212" s="166" t="s">
        <v>239</v>
      </c>
      <c r="DY212" s="166" t="s">
        <v>240</v>
      </c>
      <c r="DZ212" s="166" t="s">
        <v>241</v>
      </c>
      <c r="EA212" s="166" t="s">
        <v>242</v>
      </c>
      <c r="EB212" s="166" t="s">
        <v>243</v>
      </c>
      <c r="EC212" s="166" t="s">
        <v>244</v>
      </c>
      <c r="ED212" s="166" t="s">
        <v>245</v>
      </c>
      <c r="EE212" s="166" t="s">
        <v>246</v>
      </c>
      <c r="EF212" s="166" t="s">
        <v>247</v>
      </c>
      <c r="EG212" s="166" t="s">
        <v>248</v>
      </c>
      <c r="EH212" s="166" t="s">
        <v>249</v>
      </c>
      <c r="EI212" s="166" t="s">
        <v>250</v>
      </c>
      <c r="EJ212" s="166" t="s">
        <v>251</v>
      </c>
      <c r="EK212" s="166" t="s">
        <v>252</v>
      </c>
      <c r="EL212" s="166" t="s">
        <v>253</v>
      </c>
      <c r="EM212" s="166" t="s">
        <v>254</v>
      </c>
      <c r="EN212" s="166" t="s">
        <v>255</v>
      </c>
      <c r="EO212" s="166" t="s">
        <v>256</v>
      </c>
      <c r="EP212" s="166" t="s">
        <v>257</v>
      </c>
      <c r="EQ212" s="166" t="s">
        <v>258</v>
      </c>
      <c r="ER212" s="166" t="s">
        <v>259</v>
      </c>
      <c r="ES212" s="166" t="s">
        <v>260</v>
      </c>
      <c r="ET212" s="166" t="s">
        <v>261</v>
      </c>
      <c r="EU212" s="166" t="s">
        <v>262</v>
      </c>
      <c r="EV212" s="166" t="s">
        <v>263</v>
      </c>
      <c r="EW212" s="166" t="s">
        <v>264</v>
      </c>
      <c r="EX212" s="166" t="s">
        <v>265</v>
      </c>
      <c r="EY212" s="166" t="s">
        <v>266</v>
      </c>
      <c r="EZ212" s="166" t="s">
        <v>267</v>
      </c>
    </row>
    <row r="213" spans="46:47" ht="14.25" hidden="1">
      <c r="AT213" s="166">
        <v>1</v>
      </c>
      <c r="AU213" s="166" t="s">
        <v>614</v>
      </c>
    </row>
    <row r="214" spans="40:41" ht="14.25" hidden="1">
      <c r="AN214" s="218"/>
      <c r="AO214" s="218"/>
    </row>
    <row r="215" ht="14.25" hidden="1"/>
    <row r="216" spans="51:64" ht="14.25" hidden="1">
      <c r="AY216" s="193"/>
      <c r="BI216" s="166" t="str">
        <f>IF(BI218=0," ",IF(BI218=1,"One Lakh",CONCATENATE(BI217," ",BI219)))</f>
        <v> </v>
      </c>
      <c r="BJ216" s="166" t="str">
        <f>IF(BJ218=0," ",IF(BJ218=1,"One Thousand",CONCATENATE(BJ217," ",BJ219)))</f>
        <v>Twelve Thousands</v>
      </c>
      <c r="BK216" s="166" t="str">
        <f>IF(BK218=0," ",IF(BK218=1,"One Hundred",CONCATENATE(BK217," ",BK219)))</f>
        <v> </v>
      </c>
      <c r="BL216" s="166" t="str">
        <f>IF(BL218=0," ",IF(AND(BI218=0,BJ218=0,BK218=0),BL217,CONCATENATE("and"," ",BL217)))</f>
        <v>and Thirty Nine</v>
      </c>
    </row>
    <row r="217" spans="40:64" ht="14.25" hidden="1">
      <c r="AN217" s="166" t="s">
        <v>268</v>
      </c>
      <c r="AT217" s="166">
        <v>1</v>
      </c>
      <c r="AU217" s="166" t="s">
        <v>608</v>
      </c>
      <c r="AY217" s="214">
        <v>50000</v>
      </c>
      <c r="BI217" s="166" t="e">
        <f>HLOOKUP(BI218,BI211:EZ212,2,FALSE)</f>
        <v>#N/A</v>
      </c>
      <c r="BJ217" s="166" t="str">
        <f>HLOOKUP(BJ218,BI211:EZ212,2,FALSE)</f>
        <v>Twelve</v>
      </c>
      <c r="BK217" s="166" t="e">
        <f>HLOOKUP(BK218,BI211:EZ212,2,FALSE)</f>
        <v>#N/A</v>
      </c>
      <c r="BL217" s="166" t="str">
        <f>HLOOKUP(BL218,BI211:EZ212,2,FALSE)</f>
        <v>Thirty Nine</v>
      </c>
    </row>
    <row r="218" spans="35:64" ht="14.25" hidden="1">
      <c r="AI218" s="166" t="s">
        <v>269</v>
      </c>
      <c r="AT218" s="166">
        <v>2</v>
      </c>
      <c r="AU218" s="166" t="s">
        <v>609</v>
      </c>
      <c r="AY218" s="166">
        <v>100000</v>
      </c>
      <c r="BI218" s="166">
        <f>INT(BI220/100000)</f>
        <v>0</v>
      </c>
      <c r="BJ218" s="166">
        <f>INT(BI220/1000)-(BI218*100)</f>
        <v>12</v>
      </c>
      <c r="BK218" s="166">
        <f>INT(BI220/100)-(BI218*1000)-(BJ218*10)</f>
        <v>0</v>
      </c>
      <c r="BL218" s="166">
        <f>BI220-(BI218*100000)-(BJ218*1000)-(BK218*100)</f>
        <v>39</v>
      </c>
    </row>
    <row r="219" spans="61:63" ht="14.25" hidden="1">
      <c r="BI219" s="166" t="s">
        <v>270</v>
      </c>
      <c r="BJ219" s="166" t="s">
        <v>271</v>
      </c>
      <c r="BK219" s="166" t="s">
        <v>272</v>
      </c>
    </row>
    <row r="220" spans="35:67" ht="14.25" hidden="1">
      <c r="AI220" s="166" t="s">
        <v>273</v>
      </c>
      <c r="AM220" s="193"/>
      <c r="AO220" s="166" t="s">
        <v>274</v>
      </c>
      <c r="AQ220" s="273"/>
      <c r="AR220" s="274"/>
      <c r="AS220" s="273"/>
      <c r="AT220" s="273"/>
      <c r="AU220" s="472">
        <v>1</v>
      </c>
      <c r="AV220" s="274"/>
      <c r="AW220" s="274" t="str">
        <f>VLOOKUP(AU220,AT217:AU218,2,FALSE)</f>
        <v>Disabled Person(PH)-above 40%disability( Rule 11A)</v>
      </c>
      <c r="AX220" s="276"/>
      <c r="AY220" s="276"/>
      <c r="AZ220" s="274"/>
      <c r="BA220" s="274"/>
      <c r="BB220" s="274"/>
      <c r="BC220" s="274"/>
      <c r="BD220" s="274"/>
      <c r="BH220" s="166">
        <f>IF('Annexure -I I'!L54="No tax",0,'Annexure -I I'!L54)</f>
        <v>12039</v>
      </c>
      <c r="BI220" s="277">
        <f>BH220</f>
        <v>12039</v>
      </c>
      <c r="BJ220" s="166" t="str">
        <f>IF(BI220=0,"Zero",CONCATENATE(BI216," ",BJ216," ",BK216," ",BL216))</f>
        <v>  Twelve Thousands   and Thirty Nine</v>
      </c>
      <c r="BO220" s="166" t="str">
        <f>CONCATENATE(BJ220,"  only")</f>
        <v>  Twelve Thousands   and Thirty Nine  only</v>
      </c>
    </row>
    <row r="221" spans="36:56" ht="14.25" hidden="1">
      <c r="AJ221" s="166" t="s">
        <v>275</v>
      </c>
      <c r="AM221" s="193"/>
      <c r="AQ221" s="274"/>
      <c r="AR221" s="274"/>
      <c r="AS221" s="273"/>
      <c r="AT221" s="273"/>
      <c r="AU221" s="275"/>
      <c r="AV221" s="274"/>
      <c r="AW221" s="274"/>
      <c r="AX221" s="276"/>
      <c r="AY221" s="276"/>
      <c r="AZ221" s="274"/>
      <c r="BA221" s="274"/>
      <c r="BB221" s="274"/>
      <c r="BC221" s="274"/>
      <c r="BD221" s="274"/>
    </row>
    <row r="222" spans="39:56" ht="14.25" hidden="1">
      <c r="AM222" s="193"/>
      <c r="AQ222" s="274"/>
      <c r="AR222" s="274"/>
      <c r="AS222" s="274"/>
      <c r="AT222" s="278"/>
      <c r="AU222" s="471">
        <f>IF(AU220=1,50000,IF(AU220=2,75000))</f>
        <v>50000</v>
      </c>
      <c r="AV222" s="471"/>
      <c r="AW222" s="471">
        <f>IF(G$35&lt;=AU222,G$35,IF(G$35&gt;AU222,AU222))</f>
        <v>0</v>
      </c>
      <c r="AX222" s="279"/>
      <c r="AY222" s="276"/>
      <c r="AZ222" s="274"/>
      <c r="BA222" s="274"/>
      <c r="BB222" s="274"/>
      <c r="BC222" s="274"/>
      <c r="BD222" s="274"/>
    </row>
    <row r="223" spans="39:56" ht="14.25" hidden="1">
      <c r="AM223" s="193"/>
      <c r="AN223" s="166" t="s">
        <v>276</v>
      </c>
      <c r="AQ223" s="274"/>
      <c r="AR223" s="276"/>
      <c r="AS223" s="273"/>
      <c r="AT223" s="274"/>
      <c r="AU223" s="275"/>
      <c r="AV223" s="274"/>
      <c r="AW223" s="274"/>
      <c r="AX223" s="276"/>
      <c r="AY223" s="276"/>
      <c r="AZ223" s="274"/>
      <c r="BA223" s="274"/>
      <c r="BB223" s="274"/>
      <c r="BC223" s="274"/>
      <c r="BD223" s="274"/>
    </row>
    <row r="224" spans="39:56" ht="14.25" hidden="1">
      <c r="AM224" s="193"/>
      <c r="AR224" s="193"/>
      <c r="AU224" s="206"/>
      <c r="AX224" s="193"/>
      <c r="AY224" s="193"/>
      <c r="AZ224" s="262"/>
      <c r="BA224" s="263"/>
      <c r="BB224" s="263"/>
      <c r="BC224" s="263"/>
      <c r="BD224" s="223"/>
    </row>
    <row r="225" spans="37:57" ht="14.25" hidden="1">
      <c r="AK225" s="166" t="s">
        <v>277</v>
      </c>
      <c r="AP225" s="166" t="s">
        <v>278</v>
      </c>
      <c r="AV225" s="741"/>
      <c r="AW225" s="742"/>
      <c r="AX225" s="742"/>
      <c r="AY225" s="743"/>
      <c r="AZ225" s="743"/>
      <c r="BA225" s="742"/>
      <c r="BB225" s="742"/>
      <c r="BC225" s="742"/>
      <c r="BD225" s="742"/>
      <c r="BE225" s="744"/>
    </row>
    <row r="226" spans="43:76" ht="14.25" hidden="1">
      <c r="AQ226" s="166" t="s">
        <v>279</v>
      </c>
      <c r="AV226" s="745"/>
      <c r="AW226" s="202"/>
      <c r="AX226" s="202"/>
      <c r="AY226" s="205"/>
      <c r="AZ226" s="205"/>
      <c r="BA226" s="262" t="s">
        <v>618</v>
      </c>
      <c r="BB226" s="263">
        <f>G32</f>
        <v>0</v>
      </c>
      <c r="BC226" s="263" t="s">
        <v>619</v>
      </c>
      <c r="BD226" s="263">
        <f>Q36</f>
        <v>0</v>
      </c>
      <c r="BE226" s="223"/>
      <c r="BX226" s="166" t="str">
        <f>"Your drawing HRA="&amp;Bill!F27</f>
        <v>Your drawing HRA=24965</v>
      </c>
    </row>
    <row r="227" spans="40:76" ht="14.25" hidden="1">
      <c r="AN227" s="166" t="s">
        <v>280</v>
      </c>
      <c r="AR227" s="166" t="s">
        <v>281</v>
      </c>
      <c r="AV227" s="224"/>
      <c r="AW227" s="202"/>
      <c r="AX227" s="202"/>
      <c r="AY227" s="202"/>
      <c r="AZ227" s="202"/>
      <c r="BA227" s="224"/>
      <c r="BB227" s="202"/>
      <c r="BC227" s="202" t="s">
        <v>620</v>
      </c>
      <c r="BD227" s="202">
        <f>Q37</f>
        <v>0</v>
      </c>
      <c r="BE227" s="225">
        <f>BD226-BD227</f>
        <v>0</v>
      </c>
      <c r="BX227" s="166" t="str">
        <f>"No need to produce rent receipt due to below 36000 HRA  (for your monthly rent@ Rs."&amp;G5&amp;")"</f>
        <v>No need to produce rent receipt due to below 36000 HRA  (for your monthly rent@ Rs.5300)</v>
      </c>
    </row>
    <row r="228" spans="39:76" ht="14.25" hidden="1">
      <c r="AM228" s="206"/>
      <c r="AQ228" s="193"/>
      <c r="AV228" s="224"/>
      <c r="AW228" s="202"/>
      <c r="AX228" s="202"/>
      <c r="AY228" s="202"/>
      <c r="AZ228" s="202"/>
      <c r="BA228" s="224"/>
      <c r="BB228" s="202"/>
      <c r="BC228" s="202" t="s">
        <v>621</v>
      </c>
      <c r="BD228" s="202">
        <f>ROUND(BE227*30%,0)</f>
        <v>0</v>
      </c>
      <c r="BE228" s="225">
        <f>BD227+BD228</f>
        <v>0</v>
      </c>
      <c r="BS228" s="262" t="s">
        <v>283</v>
      </c>
      <c r="BT228" s="263">
        <f>Bill!D27</f>
        <v>208030</v>
      </c>
      <c r="BU228" s="223"/>
      <c r="BX228" s="166" t="str">
        <f>"You have to Produce rent receipt due to above 36000 HRA (for your monthly rent@ Rs."&amp;G5&amp;")"</f>
        <v>You have to Produce rent receipt due to above 36000 HRA (for your monthly rent@ Rs.5300)</v>
      </c>
    </row>
    <row r="229" spans="39:73" ht="14.25" hidden="1">
      <c r="AM229" s="206"/>
      <c r="AQ229" s="193"/>
      <c r="AU229" s="526"/>
      <c r="AV229" s="224"/>
      <c r="AW229" s="202"/>
      <c r="AX229" s="202"/>
      <c r="AY229" s="202"/>
      <c r="AZ229" s="202"/>
      <c r="BA229" s="224"/>
      <c r="BB229" s="202"/>
      <c r="BC229" s="202"/>
      <c r="BD229" s="202">
        <f>ROUND(IF(BD226&lt;0,0,(BE229-BB226)),0)</f>
        <v>0</v>
      </c>
      <c r="BE229" s="225">
        <f>BD226-BE228</f>
        <v>0</v>
      </c>
      <c r="BS229" s="224" t="s">
        <v>33</v>
      </c>
      <c r="BT229" s="202">
        <f>Bill!E27</f>
        <v>160882</v>
      </c>
      <c r="BU229" s="225"/>
    </row>
    <row r="230" spans="39:76" ht="14.25" hidden="1">
      <c r="AM230" s="206"/>
      <c r="AQ230" s="193"/>
      <c r="AU230" s="526"/>
      <c r="AV230" s="224"/>
      <c r="AW230" s="202"/>
      <c r="AX230" s="202"/>
      <c r="AY230" s="202"/>
      <c r="AZ230" s="202"/>
      <c r="BA230" s="236"/>
      <c r="BB230" s="243"/>
      <c r="BC230" s="243"/>
      <c r="BD230" s="243" t="str">
        <f>IF(BD229&gt;0," Income "," Loss")</f>
        <v> Loss</v>
      </c>
      <c r="BE230" s="237"/>
      <c r="BN230" s="202"/>
      <c r="BS230" s="224"/>
      <c r="BT230" s="202">
        <f>BP238+BP239</f>
        <v>368912</v>
      </c>
      <c r="BU230" s="225"/>
      <c r="BX230" s="166" t="str">
        <f>IF(Bill!F27&gt;36000,DATA!BX228,DATA!BX227)</f>
        <v>No need to produce rent receipt due to below 36000 HRA  (for your monthly rent@ Rs.5300)</v>
      </c>
    </row>
    <row r="231" spans="39:73" ht="14.25" hidden="1">
      <c r="AM231" s="206"/>
      <c r="AQ231" s="193"/>
      <c r="AU231" s="526"/>
      <c r="AV231" s="746" t="s">
        <v>804</v>
      </c>
      <c r="AW231" s="747"/>
      <c r="AX231" s="748">
        <f>BD226</f>
        <v>0</v>
      </c>
      <c r="AY231" s="202"/>
      <c r="AZ231" s="202"/>
      <c r="BA231" s="202"/>
      <c r="BB231" s="202"/>
      <c r="BC231" s="202"/>
      <c r="BD231" s="202"/>
      <c r="BE231" s="225"/>
      <c r="BO231" s="166">
        <v>35900</v>
      </c>
      <c r="BP231" s="166">
        <f>BT232-BT231</f>
        <v>24965</v>
      </c>
      <c r="BS231" s="280">
        <v>0.1</v>
      </c>
      <c r="BT231" s="202">
        <f>ROUND(BP240*0.1,)</f>
        <v>36891</v>
      </c>
      <c r="BU231" s="225">
        <f>BP241*4</f>
        <v>147564</v>
      </c>
    </row>
    <row r="232" spans="39:74" ht="14.25" hidden="1">
      <c r="AM232" s="206"/>
      <c r="AQ232" s="193"/>
      <c r="AU232" s="526"/>
      <c r="AV232" s="746" t="s">
        <v>805</v>
      </c>
      <c r="AW232" s="747"/>
      <c r="AX232" s="748">
        <f>BD227</f>
        <v>0</v>
      </c>
      <c r="AY232" s="202"/>
      <c r="AZ232" s="202"/>
      <c r="BA232" s="202">
        <v>1</v>
      </c>
      <c r="BB232" s="202" t="s">
        <v>802</v>
      </c>
      <c r="BC232" s="202"/>
      <c r="BD232" s="202"/>
      <c r="BE232" s="225"/>
      <c r="BP232" s="166">
        <f>ROUND((BP231-BO231)/12,0)</f>
        <v>-911</v>
      </c>
      <c r="BQ232" s="166">
        <f>ROUND((BP243-BP233),-2)-150</f>
        <v>5150</v>
      </c>
      <c r="BS232" s="224" t="s">
        <v>285</v>
      </c>
      <c r="BT232" s="202">
        <f>ROUND((BT231+BU232),0)</f>
        <v>61856</v>
      </c>
      <c r="BU232" s="225">
        <f>BR242</f>
        <v>24965</v>
      </c>
      <c r="BV232" s="166" t="s">
        <v>514</v>
      </c>
    </row>
    <row r="233" spans="47:76" ht="14.25" hidden="1">
      <c r="AU233" s="527"/>
      <c r="AV233" s="746" t="s">
        <v>806</v>
      </c>
      <c r="AW233" s="747"/>
      <c r="AX233" s="748">
        <f>BD228</f>
        <v>0</v>
      </c>
      <c r="AY233" s="202"/>
      <c r="AZ233" s="202"/>
      <c r="BA233" s="202">
        <v>2</v>
      </c>
      <c r="BB233" s="202" t="s">
        <v>29</v>
      </c>
      <c r="BC233" s="202"/>
      <c r="BD233" s="202"/>
      <c r="BE233" s="225"/>
      <c r="BK233" s="202"/>
      <c r="BP233" s="166">
        <f>IF(BP232&gt;0,BP232,BP232*0)</f>
        <v>0</v>
      </c>
      <c r="BQ233" s="166">
        <f>IF(BQ232&gt;=BP243,"",BQ234)</f>
        <v>5200</v>
      </c>
      <c r="BS233" s="224"/>
      <c r="BT233" s="202">
        <f>G5</f>
        <v>5300</v>
      </c>
      <c r="BU233" s="225">
        <f>ROUND(IF((BT234-BT231)&gt;0,(BT234-BT231),IF((BT234-BT231)&lt;0,(BT234-BT231))),-1)</f>
        <v>26710</v>
      </c>
      <c r="BV233" s="166">
        <f>IF(BU233&gt;36000,36000,BU233)</f>
        <v>26710</v>
      </c>
      <c r="BX233" s="166" t="str">
        <f>CONCATENATE("This is to certify that I have paid an amount of Rs.",BT234," (",BZ249,")","  towards house rent year  2014 - 2015.","(Rent ",G5," per month X 12 months) )")</f>
        <v>This is to certify that I have paid an amount of Rs.63600 (  Sixty Three Thousands Six Hundred  Rupees Only)  towards house rent year  2014 - 2015.(Rent 5300 per month X 12 months) )</v>
      </c>
    </row>
    <row r="234" spans="48:73" ht="14.25" hidden="1">
      <c r="AV234" s="746" t="s">
        <v>807</v>
      </c>
      <c r="AW234" s="747"/>
      <c r="AX234" s="748">
        <f>BB226</f>
        <v>0</v>
      </c>
      <c r="AY234" s="202"/>
      <c r="AZ234" s="202"/>
      <c r="BA234" s="749"/>
      <c r="BB234" s="749"/>
      <c r="BC234" s="749"/>
      <c r="BD234" s="202"/>
      <c r="BE234" s="225"/>
      <c r="BQ234" s="166">
        <f>BQ232+50</f>
        <v>5200</v>
      </c>
      <c r="BS234" s="236"/>
      <c r="BT234" s="243">
        <f>ROUND(BT233*12,0)</f>
        <v>63600</v>
      </c>
      <c r="BU234" s="237"/>
    </row>
    <row r="235" spans="37:76" ht="15" hidden="1" thickBot="1">
      <c r="AK235" s="166" t="s">
        <v>282</v>
      </c>
      <c r="AV235" s="750" t="s">
        <v>803</v>
      </c>
      <c r="AW235" s="747"/>
      <c r="AX235" s="748">
        <f>BD226-BE228</f>
        <v>0</v>
      </c>
      <c r="AY235" s="202"/>
      <c r="AZ235" s="202"/>
      <c r="BA235" s="749"/>
      <c r="BB235" s="751">
        <v>2</v>
      </c>
      <c r="BC235" s="749"/>
      <c r="BD235" s="202"/>
      <c r="BE235" s="225"/>
      <c r="BP235" s="166" t="str">
        <f>IF(BQ233="","",BP236)</f>
        <v>Please Enter Yellow cell Reduse Approximately House  Rent per Month    5200</v>
      </c>
      <c r="BX235" s="166">
        <f>IF(AZ168=1,BX233,"")</f>
      </c>
    </row>
    <row r="236" spans="37:68" ht="14.25" hidden="1">
      <c r="AK236" s="244">
        <v>1</v>
      </c>
      <c r="AL236" s="281">
        <v>41671</v>
      </c>
      <c r="AV236" s="236" t="str">
        <f>"Income"&amp;BD230&amp;" from Housing Property  =  Rs."</f>
        <v>Income Loss from Housing Property  =  Rs.</v>
      </c>
      <c r="AW236" s="243"/>
      <c r="AX236" s="243">
        <f>IF(DATA!BB235=1,BD229,"")</f>
      </c>
      <c r="AY236" s="243"/>
      <c r="AZ236" s="243"/>
      <c r="BA236" s="752"/>
      <c r="BB236" s="752"/>
      <c r="BC236" s="752"/>
      <c r="BD236" s="243"/>
      <c r="BE236" s="237"/>
      <c r="BP236" s="166" t="str">
        <f>"Please Enter Yellow cell Reduse Approximately House  Rent per Month "&amp;"   "&amp;BQ233</f>
        <v>Please Enter Yellow cell Reduse Approximately House  Rent per Month    5200</v>
      </c>
    </row>
    <row r="237" spans="37:76" ht="14.25" hidden="1">
      <c r="AK237" s="247">
        <v>2</v>
      </c>
      <c r="AL237" s="282">
        <v>41699</v>
      </c>
      <c r="BS237" s="166" t="str">
        <f>IF(BX230=BX227," No change HRA ",BP235)</f>
        <v> No change HRA </v>
      </c>
      <c r="BX237" s="166">
        <f>IF(AZ168=1," Undertaking Certificate","")</f>
      </c>
    </row>
    <row r="238" spans="37:69" ht="14.25" hidden="1">
      <c r="AK238" s="247">
        <v>3</v>
      </c>
      <c r="AL238" s="282">
        <v>41730</v>
      </c>
      <c r="BO238" s="188" t="s">
        <v>283</v>
      </c>
      <c r="BP238" s="200">
        <f>Bill!D27</f>
        <v>208030</v>
      </c>
      <c r="BQ238" s="189"/>
    </row>
    <row r="239" spans="37:75" ht="14.25" hidden="1">
      <c r="AK239" s="247">
        <v>4</v>
      </c>
      <c r="AL239" s="282">
        <v>41760</v>
      </c>
      <c r="BO239" s="190" t="s">
        <v>33</v>
      </c>
      <c r="BP239" s="202">
        <f>Bill!E27</f>
        <v>160882</v>
      </c>
      <c r="BQ239" s="191"/>
      <c r="BS239" s="166" t="s">
        <v>284</v>
      </c>
      <c r="BT239" s="166" t="s">
        <v>35</v>
      </c>
      <c r="BV239" s="166" t="s">
        <v>569</v>
      </c>
      <c r="BW239" s="166" t="s">
        <v>570</v>
      </c>
    </row>
    <row r="240" spans="37:75" ht="14.25" hidden="1">
      <c r="AK240" s="247">
        <v>5</v>
      </c>
      <c r="AL240" s="282">
        <v>41791</v>
      </c>
      <c r="BO240" s="190"/>
      <c r="BP240" s="202">
        <f>BP238+BP239</f>
        <v>368912</v>
      </c>
      <c r="BQ240" s="191"/>
      <c r="BR240" s="166">
        <f>Bill!S27</f>
        <v>2400</v>
      </c>
      <c r="BS240" s="166">
        <f>BR240</f>
        <v>2400</v>
      </c>
      <c r="BT240" s="283">
        <f>Bill!M27</f>
        <v>0</v>
      </c>
      <c r="BU240" s="166" t="str">
        <f>BS175</f>
        <v>Not Applicable </v>
      </c>
      <c r="BV240" s="166">
        <f>Bill!O27</f>
        <v>0</v>
      </c>
      <c r="BW240" s="166">
        <v>0</v>
      </c>
    </row>
    <row r="241" spans="37:174" ht="14.25" hidden="1">
      <c r="AK241" s="247">
        <v>6</v>
      </c>
      <c r="AL241" s="282">
        <v>41821</v>
      </c>
      <c r="BO241" s="284">
        <v>0.1</v>
      </c>
      <c r="BP241" s="202">
        <f>ROUND(BP240*0.1,0)</f>
        <v>36891</v>
      </c>
      <c r="BQ241" s="191">
        <f>BP241*4</f>
        <v>147564</v>
      </c>
      <c r="BS241" s="166">
        <f>MAX(BS240:BT240,0)</f>
        <v>2400</v>
      </c>
      <c r="BZ241" s="166">
        <v>1</v>
      </c>
      <c r="CA241" s="166">
        <v>2</v>
      </c>
      <c r="CB241" s="166">
        <v>3</v>
      </c>
      <c r="CC241" s="166">
        <v>4</v>
      </c>
      <c r="CD241" s="166">
        <v>5</v>
      </c>
      <c r="CE241" s="166">
        <v>6</v>
      </c>
      <c r="CF241" s="166">
        <v>7</v>
      </c>
      <c r="CG241" s="166">
        <v>8</v>
      </c>
      <c r="CH241" s="166">
        <v>9</v>
      </c>
      <c r="CI241" s="166">
        <v>10</v>
      </c>
      <c r="CJ241" s="166">
        <v>11</v>
      </c>
      <c r="CK241" s="166">
        <v>12</v>
      </c>
      <c r="CL241" s="166">
        <v>13</v>
      </c>
      <c r="CM241" s="166">
        <v>14</v>
      </c>
      <c r="CN241" s="166">
        <v>15</v>
      </c>
      <c r="CO241" s="166">
        <v>16</v>
      </c>
      <c r="CP241" s="166">
        <v>17</v>
      </c>
      <c r="CQ241" s="166">
        <v>18</v>
      </c>
      <c r="CR241" s="166">
        <v>19</v>
      </c>
      <c r="CS241" s="166">
        <v>20</v>
      </c>
      <c r="CT241" s="166">
        <v>21</v>
      </c>
      <c r="CU241" s="166">
        <v>22</v>
      </c>
      <c r="CV241" s="166">
        <v>23</v>
      </c>
      <c r="CW241" s="166">
        <v>24</v>
      </c>
      <c r="CX241" s="166">
        <v>25</v>
      </c>
      <c r="CY241" s="166">
        <v>26</v>
      </c>
      <c r="CZ241" s="166">
        <v>27</v>
      </c>
      <c r="DA241" s="166">
        <v>28</v>
      </c>
      <c r="DB241" s="166">
        <v>32</v>
      </c>
      <c r="DC241" s="166">
        <v>33</v>
      </c>
      <c r="DD241" s="166">
        <v>34</v>
      </c>
      <c r="DE241" s="166">
        <v>35</v>
      </c>
      <c r="DF241" s="166">
        <v>36</v>
      </c>
      <c r="DG241" s="166">
        <v>37</v>
      </c>
      <c r="DH241" s="166">
        <v>38</v>
      </c>
      <c r="DI241" s="166">
        <v>39</v>
      </c>
      <c r="DJ241" s="166">
        <v>40</v>
      </c>
      <c r="DK241" s="166">
        <v>41</v>
      </c>
      <c r="DL241" s="166">
        <v>42</v>
      </c>
      <c r="DM241" s="166">
        <v>43</v>
      </c>
      <c r="DN241" s="166">
        <v>44</v>
      </c>
      <c r="DO241" s="166">
        <v>45</v>
      </c>
      <c r="DP241" s="166">
        <v>46</v>
      </c>
      <c r="DQ241" s="166">
        <v>47</v>
      </c>
      <c r="DR241" s="166">
        <v>48</v>
      </c>
      <c r="DS241" s="166">
        <v>49</v>
      </c>
      <c r="DT241" s="166">
        <v>50</v>
      </c>
      <c r="DU241" s="166">
        <v>51</v>
      </c>
      <c r="DV241" s="166">
        <v>52</v>
      </c>
      <c r="DW241" s="166">
        <v>53</v>
      </c>
      <c r="DX241" s="166">
        <v>54</v>
      </c>
      <c r="DY241" s="166">
        <v>55</v>
      </c>
      <c r="DZ241" s="166">
        <v>56</v>
      </c>
      <c r="EA241" s="166">
        <v>57</v>
      </c>
      <c r="EB241" s="166">
        <v>58</v>
      </c>
      <c r="EC241" s="166">
        <v>59</v>
      </c>
      <c r="ED241" s="166">
        <v>60</v>
      </c>
      <c r="EE241" s="166">
        <v>61</v>
      </c>
      <c r="EF241" s="166">
        <v>62</v>
      </c>
      <c r="EG241" s="166">
        <v>63</v>
      </c>
      <c r="EH241" s="166">
        <v>64</v>
      </c>
      <c r="EI241" s="166">
        <v>65</v>
      </c>
      <c r="EJ241" s="166">
        <v>66</v>
      </c>
      <c r="EK241" s="166">
        <v>67</v>
      </c>
      <c r="EL241" s="166">
        <v>68</v>
      </c>
      <c r="EM241" s="166">
        <v>69</v>
      </c>
      <c r="EN241" s="166">
        <v>70</v>
      </c>
      <c r="EO241" s="166">
        <v>71</v>
      </c>
      <c r="EP241" s="166">
        <v>72</v>
      </c>
      <c r="EQ241" s="166">
        <v>73</v>
      </c>
      <c r="ER241" s="166">
        <v>74</v>
      </c>
      <c r="ES241" s="166">
        <v>75</v>
      </c>
      <c r="ET241" s="166">
        <v>76</v>
      </c>
      <c r="EU241" s="166">
        <v>77</v>
      </c>
      <c r="EV241" s="166">
        <v>78</v>
      </c>
      <c r="EW241" s="166">
        <v>79</v>
      </c>
      <c r="EX241" s="166">
        <v>80</v>
      </c>
      <c r="EY241" s="166">
        <v>81</v>
      </c>
      <c r="EZ241" s="166">
        <v>82</v>
      </c>
      <c r="FA241" s="166">
        <v>83</v>
      </c>
      <c r="FB241" s="166">
        <v>84</v>
      </c>
      <c r="FC241" s="166">
        <v>85</v>
      </c>
      <c r="FD241" s="166">
        <v>86</v>
      </c>
      <c r="FE241" s="166">
        <v>87</v>
      </c>
      <c r="FF241" s="166">
        <v>88</v>
      </c>
      <c r="FG241" s="166">
        <v>89</v>
      </c>
      <c r="FH241" s="166">
        <v>90</v>
      </c>
      <c r="FI241" s="166">
        <v>91</v>
      </c>
      <c r="FJ241" s="166">
        <v>92</v>
      </c>
      <c r="FK241" s="166">
        <v>93</v>
      </c>
      <c r="FL241" s="166">
        <v>94</v>
      </c>
      <c r="FM241" s="166">
        <v>95</v>
      </c>
      <c r="FN241" s="166">
        <v>96</v>
      </c>
      <c r="FO241" s="166">
        <v>97</v>
      </c>
      <c r="FP241" s="166">
        <v>98</v>
      </c>
      <c r="FQ241" s="166">
        <v>99</v>
      </c>
      <c r="FR241" s="166">
        <v>0</v>
      </c>
    </row>
    <row r="242" spans="37:174" ht="14.25" hidden="1">
      <c r="AK242" s="247">
        <v>7</v>
      </c>
      <c r="AL242" s="282">
        <v>41852</v>
      </c>
      <c r="BI242" s="202"/>
      <c r="BJ242" s="202"/>
      <c r="BK242" s="202"/>
      <c r="BL242" s="202"/>
      <c r="BM242" s="202"/>
      <c r="BO242" s="190" t="s">
        <v>285</v>
      </c>
      <c r="BP242" s="202">
        <f>ROUND(BP241+BQ242,0)</f>
        <v>61856</v>
      </c>
      <c r="BQ242" s="191">
        <f>BR242</f>
        <v>24965</v>
      </c>
      <c r="BR242" s="166">
        <f>IF(Bill!F27=0,(Bill!J27+500),(Bill!F27+Bill!J27))</f>
        <v>24965</v>
      </c>
      <c r="BS242" s="166">
        <f>IF(BT248=1,BS240,"")</f>
        <v>2400</v>
      </c>
      <c r="BT242" s="166">
        <f>IF(BT248=2,BU242,BV242)</f>
        <v>0</v>
      </c>
      <c r="BU242" s="166">
        <f>BT240+BV240+BW240</f>
        <v>0</v>
      </c>
      <c r="BV242" s="166">
        <f>BV240+BW240</f>
        <v>0</v>
      </c>
      <c r="BZ242" s="166" t="s">
        <v>169</v>
      </c>
      <c r="CA242" s="166" t="s">
        <v>170</v>
      </c>
      <c r="CB242" s="166" t="s">
        <v>171</v>
      </c>
      <c r="CC242" s="166" t="s">
        <v>172</v>
      </c>
      <c r="CD242" s="166" t="s">
        <v>173</v>
      </c>
      <c r="CE242" s="166" t="s">
        <v>174</v>
      </c>
      <c r="CF242" s="166" t="s">
        <v>175</v>
      </c>
      <c r="CG242" s="166" t="s">
        <v>176</v>
      </c>
      <c r="CH242" s="166" t="s">
        <v>177</v>
      </c>
      <c r="CI242" s="166" t="s">
        <v>178</v>
      </c>
      <c r="CJ242" s="166" t="s">
        <v>179</v>
      </c>
      <c r="CK242" s="166" t="s">
        <v>180</v>
      </c>
      <c r="CL242" s="166" t="s">
        <v>181</v>
      </c>
      <c r="CM242" s="166" t="s">
        <v>182</v>
      </c>
      <c r="CN242" s="166" t="s">
        <v>183</v>
      </c>
      <c r="CO242" s="166" t="s">
        <v>184</v>
      </c>
      <c r="CP242" s="166" t="s">
        <v>185</v>
      </c>
      <c r="CQ242" s="166" t="s">
        <v>186</v>
      </c>
      <c r="CR242" s="166" t="s">
        <v>187</v>
      </c>
      <c r="CS242" s="166" t="s">
        <v>188</v>
      </c>
      <c r="CT242" s="166" t="s">
        <v>189</v>
      </c>
      <c r="CU242" s="166" t="s">
        <v>190</v>
      </c>
      <c r="CV242" s="166" t="s">
        <v>191</v>
      </c>
      <c r="CW242" s="166" t="s">
        <v>192</v>
      </c>
      <c r="CX242" s="166" t="s">
        <v>193</v>
      </c>
      <c r="CY242" s="166" t="s">
        <v>194</v>
      </c>
      <c r="CZ242" s="166" t="s">
        <v>195</v>
      </c>
      <c r="DA242" s="166" t="s">
        <v>196</v>
      </c>
      <c r="DB242" s="166" t="s">
        <v>200</v>
      </c>
      <c r="DC242" s="166" t="s">
        <v>201</v>
      </c>
      <c r="DD242" s="166" t="s">
        <v>202</v>
      </c>
      <c r="DE242" s="166" t="s">
        <v>203</v>
      </c>
      <c r="DF242" s="166" t="s">
        <v>204</v>
      </c>
      <c r="DG242" s="166" t="s">
        <v>205</v>
      </c>
      <c r="DH242" s="166" t="s">
        <v>206</v>
      </c>
      <c r="DI242" s="166" t="s">
        <v>207</v>
      </c>
      <c r="DJ242" s="166" t="s">
        <v>208</v>
      </c>
      <c r="DK242" s="166" t="s">
        <v>209</v>
      </c>
      <c r="DL242" s="166" t="s">
        <v>210</v>
      </c>
      <c r="DM242" s="166" t="s">
        <v>211</v>
      </c>
      <c r="DN242" s="166" t="s">
        <v>212</v>
      </c>
      <c r="DO242" s="166" t="s">
        <v>213</v>
      </c>
      <c r="DP242" s="166" t="s">
        <v>214</v>
      </c>
      <c r="DQ242" s="166" t="s">
        <v>215</v>
      </c>
      <c r="DR242" s="166" t="s">
        <v>216</v>
      </c>
      <c r="DS242" s="166" t="s">
        <v>217</v>
      </c>
      <c r="DT242" s="166" t="s">
        <v>218</v>
      </c>
      <c r="DU242" s="166" t="s">
        <v>219</v>
      </c>
      <c r="DV242" s="166" t="s">
        <v>220</v>
      </c>
      <c r="DW242" s="166" t="s">
        <v>221</v>
      </c>
      <c r="DX242" s="166" t="s">
        <v>222</v>
      </c>
      <c r="DY242" s="166" t="s">
        <v>223</v>
      </c>
      <c r="DZ242" s="166" t="s">
        <v>224</v>
      </c>
      <c r="EA242" s="166" t="s">
        <v>225</v>
      </c>
      <c r="EB242" s="166" t="s">
        <v>226</v>
      </c>
      <c r="EC242" s="166" t="s">
        <v>227</v>
      </c>
      <c r="ED242" s="166" t="s">
        <v>228</v>
      </c>
      <c r="EE242" s="166" t="s">
        <v>229</v>
      </c>
      <c r="EF242" s="166" t="s">
        <v>230</v>
      </c>
      <c r="EG242" s="166" t="s">
        <v>231</v>
      </c>
      <c r="EH242" s="166" t="s">
        <v>232</v>
      </c>
      <c r="EI242" s="166" t="s">
        <v>233</v>
      </c>
      <c r="EJ242" s="166" t="s">
        <v>234</v>
      </c>
      <c r="EK242" s="166" t="s">
        <v>235</v>
      </c>
      <c r="EL242" s="166" t="s">
        <v>236</v>
      </c>
      <c r="EM242" s="166" t="s">
        <v>237</v>
      </c>
      <c r="EN242" s="166" t="s">
        <v>238</v>
      </c>
      <c r="EO242" s="166" t="s">
        <v>239</v>
      </c>
      <c r="EP242" s="166" t="s">
        <v>240</v>
      </c>
      <c r="EQ242" s="166" t="s">
        <v>241</v>
      </c>
      <c r="ER242" s="166" t="s">
        <v>242</v>
      </c>
      <c r="ES242" s="166" t="s">
        <v>243</v>
      </c>
      <c r="ET242" s="166" t="s">
        <v>244</v>
      </c>
      <c r="EU242" s="166" t="s">
        <v>245</v>
      </c>
      <c r="EV242" s="166" t="s">
        <v>246</v>
      </c>
      <c r="EW242" s="166" t="s">
        <v>247</v>
      </c>
      <c r="EX242" s="166" t="s">
        <v>248</v>
      </c>
      <c r="EY242" s="166" t="s">
        <v>249</v>
      </c>
      <c r="EZ242" s="166" t="s">
        <v>250</v>
      </c>
      <c r="FA242" s="166" t="s">
        <v>251</v>
      </c>
      <c r="FB242" s="166" t="s">
        <v>252</v>
      </c>
      <c r="FC242" s="166" t="s">
        <v>253</v>
      </c>
      <c r="FD242" s="166" t="s">
        <v>254</v>
      </c>
      <c r="FE242" s="166" t="s">
        <v>255</v>
      </c>
      <c r="FF242" s="166" t="s">
        <v>256</v>
      </c>
      <c r="FG242" s="166" t="s">
        <v>257</v>
      </c>
      <c r="FH242" s="166" t="s">
        <v>258</v>
      </c>
      <c r="FI242" s="166" t="s">
        <v>259</v>
      </c>
      <c r="FJ242" s="166" t="s">
        <v>260</v>
      </c>
      <c r="FK242" s="166" t="s">
        <v>261</v>
      </c>
      <c r="FL242" s="166" t="s">
        <v>262</v>
      </c>
      <c r="FM242" s="166" t="s">
        <v>263</v>
      </c>
      <c r="FN242" s="166" t="s">
        <v>264</v>
      </c>
      <c r="FO242" s="166" t="s">
        <v>265</v>
      </c>
      <c r="FP242" s="166" t="s">
        <v>266</v>
      </c>
      <c r="FQ242" s="166" t="s">
        <v>267</v>
      </c>
      <c r="FR242" s="166" t="s">
        <v>516</v>
      </c>
    </row>
    <row r="243" spans="37:69" ht="14.25" hidden="1">
      <c r="AK243" s="247">
        <v>8</v>
      </c>
      <c r="AL243" s="282">
        <v>41883</v>
      </c>
      <c r="BI243" s="202"/>
      <c r="BJ243" s="202"/>
      <c r="BK243" s="202"/>
      <c r="BL243" s="202"/>
      <c r="BM243" s="202"/>
      <c r="BO243" s="190"/>
      <c r="BP243" s="166">
        <f>ROUND(BP242/12,-2)+100</f>
        <v>5300</v>
      </c>
      <c r="BQ243" s="191">
        <f>ROUND((BP244-BP241),-1)</f>
        <v>26710</v>
      </c>
    </row>
    <row r="244" spans="37:69" ht="14.25" hidden="1">
      <c r="AK244" s="247">
        <v>9</v>
      </c>
      <c r="AL244" s="282">
        <v>41913</v>
      </c>
      <c r="AS244" s="951">
        <v>1</v>
      </c>
      <c r="AT244" s="951"/>
      <c r="AU244" s="970">
        <v>2</v>
      </c>
      <c r="AV244" s="970"/>
      <c r="AW244" s="972">
        <v>3</v>
      </c>
      <c r="AX244" s="972"/>
      <c r="AY244" s="286"/>
      <c r="AZ244" s="287"/>
      <c r="BA244" s="170"/>
      <c r="BB244" s="170"/>
      <c r="BC244" s="439"/>
      <c r="BD244" s="170"/>
      <c r="BG244" s="288"/>
      <c r="BI244" s="202"/>
      <c r="BJ244" s="202"/>
      <c r="BK244" s="202"/>
      <c r="BL244" s="202"/>
      <c r="BM244" s="202"/>
      <c r="BO244" s="190"/>
      <c r="BP244" s="166">
        <f>BP243*12</f>
        <v>63600</v>
      </c>
      <c r="BQ244" s="191"/>
    </row>
    <row r="245" spans="37:80" ht="15" hidden="1" thickBot="1">
      <c r="AK245" s="247">
        <v>10</v>
      </c>
      <c r="AL245" s="282">
        <v>41944</v>
      </c>
      <c r="AS245" s="190"/>
      <c r="AT245" s="248">
        <v>1</v>
      </c>
      <c r="AU245" s="211"/>
      <c r="AV245" s="229">
        <v>1</v>
      </c>
      <c r="AW245" s="211"/>
      <c r="AX245" s="289">
        <v>1</v>
      </c>
      <c r="AY245" s="190"/>
      <c r="AZ245" s="274"/>
      <c r="BA245" s="274"/>
      <c r="BB245" s="274"/>
      <c r="BC245" s="439"/>
      <c r="BD245" s="274"/>
      <c r="BI245" s="202"/>
      <c r="BJ245" s="202"/>
      <c r="BK245" s="202"/>
      <c r="BL245" s="202"/>
      <c r="BM245" s="202"/>
      <c r="BO245" s="190"/>
      <c r="BQ245" s="191"/>
      <c r="BT245" s="166" t="s">
        <v>11</v>
      </c>
      <c r="BU245" s="166">
        <v>1</v>
      </c>
      <c r="BY245" s="166" t="str">
        <f>IF(BY247=0," ",IF(BY247=1,"One Lakh",CONCATENATE(BY246," ",BY248)))</f>
        <v> </v>
      </c>
      <c r="BZ245" s="166" t="str">
        <f>IF(BZ247=0," ",IF(BZ247=1,"One Thousand",CONCATENATE(BZ246," ",BZ248)))</f>
        <v>Sixty Three Thousands</v>
      </c>
      <c r="CA245" s="166" t="str">
        <f>IF(CA247=0," ",IF(CA247=1,"One Hundred",CONCATENATE(CA246," ",CA248)))</f>
        <v>Six Hundred</v>
      </c>
      <c r="CB245" s="166" t="str">
        <f>IF(CB247=0," ",IF(AND(BY247=0,BZ247=0,CA247=0),CB246,CONCATENATE("and"," ",CB246)))</f>
        <v> </v>
      </c>
    </row>
    <row r="246" spans="37:80" ht="14.25" hidden="1">
      <c r="AK246" s="247">
        <v>11</v>
      </c>
      <c r="AL246" s="282">
        <v>41974</v>
      </c>
      <c r="AO246" s="166">
        <f>IF(AR251=2,VLOOKUP(AT249,BD141:BE209,2,0),IF(AR251=3,VLOOKUP(AT249,BD141:BE209,2,0),IF(AR251=4,VLOOKUP(AT249,BD141:BE209,2,0),IF(AR251=5,VLOOKUP(AT249,BD141:BE209,2,0),IF(AR251=6,VLOOKUP(AT249,BD141:BF209,3,0),IF(AR251=7,VLOOKUP(AT249,BD141:BE209,2,0),IF(AR251=1,AT249,AT249)))))))</f>
        <v>17540</v>
      </c>
      <c r="AS246" s="290">
        <v>7</v>
      </c>
      <c r="AT246" s="291">
        <f>VLOOKUP(AS246,AK$236:AL$248,2,0)</f>
        <v>41852</v>
      </c>
      <c r="AU246" s="202"/>
      <c r="AV246" s="202"/>
      <c r="AW246" s="202"/>
      <c r="AX246" s="202"/>
      <c r="AY246" s="202"/>
      <c r="AZ246" s="202"/>
      <c r="BA246" s="274"/>
      <c r="BB246" s="274"/>
      <c r="BC246" s="439"/>
      <c r="BD246" s="274"/>
      <c r="BO246" s="196"/>
      <c r="BP246" s="211"/>
      <c r="BQ246" s="197"/>
      <c r="BT246" s="166" t="s">
        <v>139</v>
      </c>
      <c r="BU246" s="166">
        <v>2</v>
      </c>
      <c r="BY246" s="166" t="e">
        <f>HLOOKUP(BY247,BZ241:FQ242,2,FALSE)</f>
        <v>#N/A</v>
      </c>
      <c r="BZ246" s="166" t="str">
        <f>HLOOKUP(BZ247,BZ241:FQ242,2,FALSE)</f>
        <v>Sixty Three</v>
      </c>
      <c r="CA246" s="166" t="str">
        <f>HLOOKUP(CA247,BZ241:FQ242,2,TRUE)</f>
        <v>Six</v>
      </c>
      <c r="CB246" s="166" t="e">
        <f>HLOOKUP(CB247,BZ241:FQ242,2,TRUE)</f>
        <v>#N/A</v>
      </c>
    </row>
    <row r="247" spans="37:80" ht="14.25" hidden="1">
      <c r="AK247" s="247">
        <v>12</v>
      </c>
      <c r="AL247" s="282">
        <v>42005</v>
      </c>
      <c r="AO247" s="166">
        <f>IF(AR252=2,VLOOKUP(AO246,BD141:BE209,2,0),IF(AR252=3,VLOOKUP(AO246,BD141:BE209,2,0),IF(AR252=4,VLOOKUP(AO246,BD141:BE209,2,0),IF(AR252=5,VLOOKUP(AO246,BD141:BE209,2,0),IF(AR252=6,VLOOKUP(AO246,BD141:BF209,2,0),IF(AR252=7,VLOOKUP(AO246,BD141:BE209,2,0),IF(AR252=1,"")))))))</f>
      </c>
      <c r="AS247" s="292">
        <v>13</v>
      </c>
      <c r="AT247" s="293">
        <f>VLOOKUP(AS247,AK$236:AL$248,2,0)</f>
        <v>42036</v>
      </c>
      <c r="AU247" s="202"/>
      <c r="AV247" s="202"/>
      <c r="AW247" s="202"/>
      <c r="AX247" s="202"/>
      <c r="AY247" s="205"/>
      <c r="AZ247" s="202"/>
      <c r="BA247" s="276"/>
      <c r="BB247" s="276"/>
      <c r="BC247" s="276"/>
      <c r="BD247" s="274"/>
      <c r="BK247" s="166">
        <f>IF(BF251="","",BG251)</f>
      </c>
      <c r="BL247" s="288">
        <f>VLOOKUP(AO251,BF$262:BK$275,6,0)</f>
        <v>0.71904</v>
      </c>
      <c r="BM247" s="166">
        <f>IF(BF251="","",ROUND(BF251*BL247,0))</f>
      </c>
      <c r="BN247" s="166">
        <f>VLOOKUP(AO251,AF$270:AI$281,4,0)</f>
        <v>12</v>
      </c>
      <c r="BO247" s="166">
        <f>IF(BF251="","",ROUND(BF251*BN247%,0))</f>
      </c>
      <c r="BP247" s="166">
        <f>IF(BF251="","",(BF251+BM247+BO247+BS254))</f>
      </c>
      <c r="BY247" s="166">
        <f>INT(BY249/100000)</f>
        <v>0</v>
      </c>
      <c r="BZ247" s="166">
        <f>INT(BY249/1000)-(BY247*100)</f>
        <v>63</v>
      </c>
      <c r="CA247" s="166">
        <f>INT(BY249/100)-(BY247*1000)-(BZ247*10)</f>
        <v>6</v>
      </c>
      <c r="CB247" s="166">
        <f>BY249-(BY247*100000)-(BZ247*1000)-(CA247*100)</f>
        <v>0</v>
      </c>
    </row>
    <row r="248" spans="37:79" ht="15" hidden="1" thickBot="1">
      <c r="AK248" s="250">
        <v>13</v>
      </c>
      <c r="AL248" s="294">
        <v>42036</v>
      </c>
      <c r="AO248" s="166">
        <f>IF(AR253=2,VLOOKUP(IF(AO247="",AO246,AO247),BD141:BE209,2,0),IF(AR253=3,VLOOKUP(IF(AO247="",AO246,AO247),BD141:BE209,2,0),IF(AR253=4,VLOOKUP(IF(AO247="",AO246,AO247),BD141:BE209,2,0),IF(AR253=5,VLOOKUP(IF(AO247="",AO246,AO247),BD141:BE209,2,0),IF(AR253=6,VLOOKUP(IF(AO247="",AO246,AO247),BD141:EB209,3,0),IF(AR253=7,VLOOKUP(IF(AO247="",AO246,AO247),BD141:BE209,2,0),IF(AR253=1,"",AO246)))))))</f>
      </c>
      <c r="AS248" s="295">
        <v>13</v>
      </c>
      <c r="AT248" s="296">
        <f>VLOOKUP(AS248,AK$236:AL$248,2,0)</f>
        <v>42036</v>
      </c>
      <c r="AU248" s="202"/>
      <c r="AV248" s="202"/>
      <c r="AW248" s="202"/>
      <c r="AX248" s="202"/>
      <c r="AY248" s="205"/>
      <c r="AZ248" s="202"/>
      <c r="BA248" s="276"/>
      <c r="BB248" s="276"/>
      <c r="BC248" s="276"/>
      <c r="BD248" s="202"/>
      <c r="BK248" s="166">
        <f>IF(BF252="","",BG252)</f>
      </c>
      <c r="BL248" s="288">
        <f>VLOOKUP(AO252,BF$262:BK$275,6,0)</f>
        <v>0.77896</v>
      </c>
      <c r="BM248" s="166">
        <f>IF(BF252="","",ROUND(BF252*BL248,0))</f>
      </c>
      <c r="BN248" s="166">
        <f>VLOOKUP(AO252,AF$270:AI$281,4,0)</f>
        <v>12</v>
      </c>
      <c r="BO248" s="166">
        <f>IF(BF252="","",ROUND(BF252*BN248%,0))</f>
      </c>
      <c r="BP248" s="166">
        <f>IF(BF252="","",(BF252+BM248+BO248+BS255))</f>
      </c>
      <c r="BS248" s="166">
        <f>IF(BU172=1,1,2)</f>
        <v>1</v>
      </c>
      <c r="BT248" s="166">
        <f>BS248</f>
        <v>1</v>
      </c>
      <c r="BY248" s="166" t="s">
        <v>270</v>
      </c>
      <c r="BZ248" s="166" t="s">
        <v>271</v>
      </c>
      <c r="CA248" s="166" t="s">
        <v>272</v>
      </c>
    </row>
    <row r="249" spans="45:78" ht="15" hidden="1" thickBot="1">
      <c r="AS249" s="297">
        <v>34</v>
      </c>
      <c r="AT249" s="298">
        <f>VLOOKUP(AS249,BC141:BD209,2,0)</f>
        <v>17050</v>
      </c>
      <c r="AY249" s="205"/>
      <c r="BA249" s="276"/>
      <c r="BB249" s="276"/>
      <c r="BC249" s="276"/>
      <c r="BK249" s="166">
        <f>IF(BF253="","",BG253)</f>
      </c>
      <c r="BL249" s="288">
        <f>VLOOKUP(AO253,BF$262:BK$275,6,0)</f>
        <v>0.77896</v>
      </c>
      <c r="BM249" s="166">
        <f>IF(BF253="","",ROUND(BF253*BL249,0))</f>
      </c>
      <c r="BN249" s="166">
        <f>VLOOKUP(AO253,AF$270:AI$281,4,0)</f>
        <v>12</v>
      </c>
      <c r="BO249" s="166">
        <f>IF(BF253="","",ROUND(BF253*BN249%,0))</f>
      </c>
      <c r="BP249" s="166">
        <f>IF(BF253="","",(BF253+BM249+BO249+BS256))</f>
      </c>
      <c r="BY249" s="166">
        <f>BT234</f>
        <v>63600</v>
      </c>
      <c r="BZ249" s="166" t="str">
        <f>IF(BY249=0,"Zero",CONCATENATE(BY245," ",BZ245," ",CA245," ",CB245,"Rupees Only"))</f>
        <v>  Sixty Three Thousands Six Hundred  Rupees Only</v>
      </c>
    </row>
    <row r="250" spans="48:72" ht="14.25" hidden="1">
      <c r="AV250" s="166" t="s">
        <v>286</v>
      </c>
      <c r="AW250" s="166" t="s">
        <v>287</v>
      </c>
      <c r="AX250" s="166" t="s">
        <v>288</v>
      </c>
      <c r="BE250" s="166" t="s">
        <v>283</v>
      </c>
      <c r="BQ250" s="166" t="str">
        <f>AQ251</f>
        <v>Month of Annual Increment after Jan-14</v>
      </c>
      <c r="BR250" s="206">
        <f>AO251</f>
        <v>41852</v>
      </c>
      <c r="BS250" s="166">
        <f>BC251</f>
        <v>31</v>
      </c>
      <c r="BT250" s="166">
        <f>BA254</f>
        <v>31</v>
      </c>
    </row>
    <row r="251" spans="35:72" ht="14.25" hidden="1">
      <c r="AI251" s="188" t="s">
        <v>8</v>
      </c>
      <c r="AJ251" s="299">
        <v>36526</v>
      </c>
      <c r="AK251" s="200">
        <v>100</v>
      </c>
      <c r="AL251" s="200" t="s">
        <v>8</v>
      </c>
      <c r="AM251" s="189">
        <v>100</v>
      </c>
      <c r="AN251" s="166">
        <f>IF(AND(AR251=2,AT245=1),VLOOKUP(AT249,BD158:BE209,2,0),IF(AND(AR251=3,AT245=1),VLOOKUP(AT249,BD158:BE209,2,0),IF(AND(AR251=4,AT245=1),VLOOKUP(AT249,BD158:BE209,2,0),IF(AND(AR251=5,AT245=1),AT251,IF(AND(AR251=6,AT245=1),AU251,IF(AND(AR251=7,AT245=1),VLOOKUP(AT249,BD158:BE209,2,0),IF(AND(AR251=1,AT245=2),AT249,AT249)))))))</f>
        <v>17540</v>
      </c>
      <c r="AO251" s="206">
        <f>AT246</f>
        <v>41852</v>
      </c>
      <c r="AP251" s="188">
        <v>1</v>
      </c>
      <c r="AQ251" s="200" t="str">
        <f>AP271</f>
        <v>Month of Annual Increment after Jan-14</v>
      </c>
      <c r="AR251" s="200">
        <f>VLOOKUP(AQ251,AO264:AP270,2,0)</f>
        <v>2</v>
      </c>
      <c r="AS251" s="200">
        <f>IF(AR251=2,VLOOKUP(AT249,BD141:BE209,2,0),IF(AR251=3,VLOOKUP(AT249,BD141:BE209,2,0),IF(AR251=4,VLOOKUP(AT249,BD141:BE209,2,0),IF(AR251=5,VLOOKUP(AT249,BG149:BH201,2,0),IF(AR251=6,VLOOKUP(AT249,BK149:BL201,2,0),IF(AR251=7,VLOOKUP(AT249,BD141:BE209,2,0),IF(AR251=1,AT249,AT249)))))))</f>
        <v>17540</v>
      </c>
      <c r="AT251" s="200"/>
      <c r="AU251" s="200"/>
      <c r="AV251" s="300">
        <v>1</v>
      </c>
      <c r="AW251" s="200">
        <f>MONTH(AO251)</f>
        <v>8</v>
      </c>
      <c r="AX251" s="200">
        <f>YEAR(AO251)</f>
        <v>2014</v>
      </c>
      <c r="AY251" s="200">
        <f>VLOOKUP(AO251,AZ$258:BB$271,3,0)</f>
        <v>8</v>
      </c>
      <c r="AZ251" s="301">
        <f>DATE(AX251,AW251,AV251)</f>
        <v>41852</v>
      </c>
      <c r="BA251" s="301">
        <f>AW254</f>
        <v>41882</v>
      </c>
      <c r="BB251" s="200">
        <f>BA251-AZ251</f>
        <v>30</v>
      </c>
      <c r="BC251" s="200">
        <f>BB251+1</f>
        <v>31</v>
      </c>
      <c r="BD251" s="200">
        <f>VLOOKUP(AO251,AZ$258:BA$271,2,0)</f>
        <v>17540</v>
      </c>
      <c r="BE251" s="200">
        <f>ROUND(BE254/BA254*BC251,0)</f>
        <v>0</v>
      </c>
      <c r="BF251" s="200">
        <f>IF(AQ251=AO$268,BE251,IF(AQ251=AO$269,BE251,IF(AQ251=AO$270,BE251,IF(AQ251=AO$265,"",IF(AQ251=AO$266,"",IF(AQ251=AO$267,"",IF(AQ251=AO$264,"")))))))</f>
      </c>
      <c r="BG251" s="190">
        <f>IF(AQ251=AO$268,AQ251,IF(AQ251=AO$269,AQ251,IF(AQ251=AO$270,AQ251,IF(AQ251=AO$265,"",IF(AQ251=AO$266,"",IF(AQ251=AO$267,"",IF(AQ251=AO$264,"")))))))</f>
      </c>
      <c r="BQ251" s="166" t="str">
        <f>AQ252</f>
        <v>No Change</v>
      </c>
      <c r="BR251" s="206">
        <f>AO252</f>
        <v>42036</v>
      </c>
      <c r="BS251" s="166">
        <f>BC252</f>
        <v>15</v>
      </c>
      <c r="BT251" s="166">
        <f>BA255</f>
        <v>28</v>
      </c>
    </row>
    <row r="252" spans="34:72" ht="14.25" hidden="1">
      <c r="AH252" s="166">
        <v>1</v>
      </c>
      <c r="AI252" s="235">
        <v>41640</v>
      </c>
      <c r="AJ252" s="204">
        <v>41671</v>
      </c>
      <c r="AK252" s="202">
        <v>2</v>
      </c>
      <c r="AL252" s="204">
        <v>41640</v>
      </c>
      <c r="AM252" s="191">
        <v>1</v>
      </c>
      <c r="AN252" s="166" t="b">
        <f>IF(AND(AR252=2,AV245=1),VLOOKUP(AS251,BD158:BE209,2,0),IF(AND(AR252=3,AV245=1),VLOOKUP(AS251,BD158:BE209,2,0),IF(AND(AR252=4,AV245=1),VLOOKUP(AS251,BD158:BE209,2,0),IF(AND(AR252=5,AV245=1),AT252,IF(AND(AR252=6,AV245=1),AU252,IF(AND(AR252=7,AV245=1),VLOOKUP(AS251,BD158:BE209,2,0),IF(AND(AR252=1,AV245=2),"")))))))</f>
        <v>0</v>
      </c>
      <c r="AO252" s="206">
        <f>AT247</f>
        <v>42036</v>
      </c>
      <c r="AP252" s="190">
        <v>2</v>
      </c>
      <c r="AQ252" s="302" t="str">
        <f>AP272</f>
        <v>No Change</v>
      </c>
      <c r="AR252" s="202">
        <f>VLOOKUP(AQ252,AO264:AP270,2,0)</f>
        <v>1</v>
      </c>
      <c r="AS252" s="202">
        <f>IF(AR252=2,VLOOKUP(AS251,BD141:BE209,2,0),IF(AR252=3,VLOOKUP(AS251,BD141:BE209,2,0),IF(AR252=4,VLOOKUP(AS251,BD141:BE209,2,0),IF(AR252=5,VLOOKUP(AS251,BG149:BH201,2,0),IF(AR252=6,VLOOKUP(AS251,BK149:BM201,2,0),IF(AR252=7,VLOOKUP(AS251,BD141:BE209,2,0),IF(AR252=1,"")))))))</f>
      </c>
      <c r="AT252" s="202"/>
      <c r="AU252" s="202"/>
      <c r="AV252" s="226">
        <v>14</v>
      </c>
      <c r="AW252" s="202">
        <f>MONTH(AO252)</f>
        <v>2</v>
      </c>
      <c r="AX252" s="202">
        <f>YEAR(AO252)</f>
        <v>2015</v>
      </c>
      <c r="AY252" s="202">
        <f>VLOOKUP(AO252,AZ$258:BB$271,3,0)</f>
        <v>14</v>
      </c>
      <c r="AZ252" s="205">
        <f>DATE(AX252,AW252,AV252)</f>
        <v>42049</v>
      </c>
      <c r="BA252" s="205">
        <f>AW255</f>
        <v>42063</v>
      </c>
      <c r="BB252" s="202">
        <f>BA252-AZ252</f>
        <v>14</v>
      </c>
      <c r="BC252" s="202">
        <f>BB252+1</f>
        <v>15</v>
      </c>
      <c r="BD252" s="202">
        <f>VLOOKUP(AO252,AZ$258:BA$271,2,0)</f>
        <v>17540</v>
      </c>
      <c r="BE252" s="202">
        <f>IF(BD255="","",ROUND(BE255/BA255*BC252,0))</f>
      </c>
      <c r="BF252" s="202">
        <f>IF(AS252="","",IF(AQ252=AO$268,BE252,IF(AQ252=AO$269,BE252,IF(AQ252=AO$270,BE252,IF(AQ252=AO$265,"",IF(AQ252=AO$266,"",IF(AQ252=AO$267,"",IF(AQ252=AO$264,""))))))))</f>
      </c>
      <c r="BG252" s="190">
        <f>IF(AQ252=AO$268,AQ252,IF(AQ252=AO$269,AQ252,IF(AQ252=AO$270,AQ252,IF(AQ252=AO$265,"",IF(AQ252=AO$266,"",IF(AQ252=AO$267,"",IF(AQ252=AO$264,"")))))))</f>
      </c>
      <c r="BQ252" s="166" t="str">
        <f>AQ253</f>
        <v>No Change</v>
      </c>
      <c r="BR252" s="206">
        <f>AO253</f>
        <v>42036</v>
      </c>
      <c r="BS252" s="166">
        <f>BC253</f>
        <v>17</v>
      </c>
      <c r="BT252" s="166">
        <f>BA256</f>
        <v>28</v>
      </c>
    </row>
    <row r="253" spans="34:72" ht="14.25" hidden="1">
      <c r="AH253" s="166">
        <v>2</v>
      </c>
      <c r="AI253" s="235">
        <v>41671</v>
      </c>
      <c r="AJ253" s="204">
        <v>41699</v>
      </c>
      <c r="AK253" s="202">
        <v>3</v>
      </c>
      <c r="AL253" s="204">
        <v>41671</v>
      </c>
      <c r="AM253" s="191">
        <v>2</v>
      </c>
      <c r="AN253" s="166">
        <f>IF(AND(AR253=2,AX245=1),VLOOKUP(IF(AS252="",AS251,AS252),BD158:BE209,2,0),IF(AND(AR253=3,AX245=1),VLOOKUP(IF(AS252="",AS251,AS252),BD158:BE209,2,0),IF(AND(AR253=4,AX245=1),VLOOKUP(IF(AS252="",AS251,AS252),BD158:BE209,2,0),IF(AND(AR253=5,AX245=1),AT253,IF(AND(AR253=6,AX245=1),AU253,IF(AND(AR253=7,AX245=1),VLOOKUP(IF(AS252="",AS251,AS252),BD158:BE209,2,0),IF(AND(AR253=1,AX245=2),"",IF(AS253="",AS251))))))))</f>
        <v>17540</v>
      </c>
      <c r="AO253" s="206">
        <f>AT248</f>
        <v>42036</v>
      </c>
      <c r="AP253" s="190">
        <v>3</v>
      </c>
      <c r="AQ253" s="200" t="str">
        <f>AP273</f>
        <v>No Change</v>
      </c>
      <c r="AR253" s="202">
        <f>VLOOKUP(AQ253,AO264:AP270,2,0)</f>
        <v>1</v>
      </c>
      <c r="AS253" s="202">
        <f>IF(AR253=2,VLOOKUP(IF(AS252="",AS251,AS252),BD141:BE209,2,0),IF(AR253=3,VLOOKUP(IF(AS252="",AS251,AS252),BD141:BE209,2,0),IF(AR253=4,VLOOKUP(IF(AS252="",AS251,AS252),BD141:BE209,2,0),IF(AR253=5,VLOOKUP(IF(AS252="",AS251,AS252),BG149:BH201,2,0),IF(AR253=6,VLOOKUP(IF(AS252="",AS251,AS252),BK149:BM201,2,0),IF(AR253=7,VLOOKUP(IF(AS252="",AS251,AS252),BD141:BE209,2,0),IF(AR253=1,"",AS251)))))))</f>
      </c>
      <c r="AT253" s="202"/>
      <c r="AU253" s="202"/>
      <c r="AV253" s="226">
        <v>12</v>
      </c>
      <c r="AW253" s="202">
        <f>MONTH(AO253)</f>
        <v>2</v>
      </c>
      <c r="AX253" s="202">
        <f>YEAR(AO253)</f>
        <v>2015</v>
      </c>
      <c r="AY253" s="202">
        <f>VLOOKUP(AO253,AZ$258:BB$271,3,0)</f>
        <v>14</v>
      </c>
      <c r="AZ253" s="205">
        <f>DATE(AX253,AW253,AV253)</f>
        <v>42047</v>
      </c>
      <c r="BA253" s="205">
        <f>AW256</f>
        <v>42063</v>
      </c>
      <c r="BB253" s="202">
        <f>BA253-AZ253</f>
        <v>16</v>
      </c>
      <c r="BC253" s="202">
        <f>BB253+1</f>
        <v>17</v>
      </c>
      <c r="BD253" s="202">
        <f>VLOOKUP(AO253,AZ$258:BA$271,2,0)</f>
        <v>17540</v>
      </c>
      <c r="BE253" s="202">
        <f>IF(BE256="","",ROUND(BE256/BA256*BC253,0))</f>
      </c>
      <c r="BF253" s="191">
        <f>IF(AS253="","",IF(AQ253=AO$268,BE253,IF(AQ253=AO$269,BE253,IF(AQ253=AO$270,BE253,IF(AQ253=AO$265,"",IF(AQ253=AO$266,"",IF(AQ253=AO$267,"",IF(AQ253=AO$264,""))))))))</f>
      </c>
      <c r="BG253" s="166">
        <f>IF(AQ253=AO$268,AQ253,IF(AQ253=AO$269,AQ253,IF(AQ253=AO$270,AQ253,IF(AQ253=AO$265,"",IF(AQ253=AO$266,"",IF(AQ253=AO$267,"",IF(AQ253=AO$264,"")))))))</f>
      </c>
      <c r="BS253" s="166">
        <f>IF(BG254="","",VLOOKUP(BG254,BQ250:BS252,3,0))</f>
      </c>
      <c r="BT253" s="166">
        <f>IF(BG254="","",VLOOKUP(BG254,BQ250:BT252,4,0))</f>
      </c>
    </row>
    <row r="254" spans="34:71" ht="14.25" hidden="1">
      <c r="AH254" s="166">
        <v>3</v>
      </c>
      <c r="AI254" s="235">
        <v>41699</v>
      </c>
      <c r="AJ254" s="204">
        <v>41730</v>
      </c>
      <c r="AK254" s="202">
        <v>4</v>
      </c>
      <c r="AL254" s="204">
        <v>41699</v>
      </c>
      <c r="AM254" s="191">
        <v>3</v>
      </c>
      <c r="AO254" s="303"/>
      <c r="AP254" s="196"/>
      <c r="AQ254" s="211"/>
      <c r="AR254" s="211"/>
      <c r="AS254" s="211"/>
      <c r="AT254" s="211"/>
      <c r="AU254" s="211"/>
      <c r="AV254" s="190"/>
      <c r="AW254" s="205">
        <f>VLOOKUP(AT246,AQ$153:AR$166,2,TRUE)</f>
        <v>41882</v>
      </c>
      <c r="AX254" s="202"/>
      <c r="AY254" s="202"/>
      <c r="AZ254" s="202"/>
      <c r="BA254" s="202">
        <f>DAY(BA251)</f>
        <v>31</v>
      </c>
      <c r="BB254" s="202"/>
      <c r="BC254" s="202"/>
      <c r="BD254" s="202">
        <f>AS251</f>
        <v>17540</v>
      </c>
      <c r="BE254" s="202">
        <f>IF(BD254="","",BD254-BD251)</f>
        <v>0</v>
      </c>
      <c r="BF254" s="191"/>
      <c r="BG254" s="166">
        <f>IF(BG251=AQ251,BG251,IF(BG252=AQ252,BG252,IF(BG253=AQ253,BG253,IF(BG251="",IF(BG252="",IF(BG253="",""))))))</f>
      </c>
      <c r="BL254" s="166">
        <f>IF(BG254=BG251,BL251,IF(BG254=BG252,BL252,IF(BG254=BG253,BL253,IF(BG254="",""))))</f>
        <v>0</v>
      </c>
      <c r="BN254" s="166">
        <f>IF(BG254=BG251,BN251,IF(BG254=BG252,BN252,IF(BG254=BG253,BN253,IF(BG254="",""))))</f>
        <v>0</v>
      </c>
      <c r="BO254" s="166">
        <f>IF(BG254=BG251,BO251,IF(BG254=BG252,BO252,IF(BG254=BG253,BO253,IF(BG254="",""))))</f>
        <v>0</v>
      </c>
      <c r="BP254" s="166" t="s">
        <v>289</v>
      </c>
      <c r="BQ254" s="206">
        <f>IF(BF251="","",VLOOKUP(BG251,BQ$250:BR$252,2,0))</f>
      </c>
      <c r="BR254" s="166">
        <f>IF(BQ254="","",VLOOKUP(BQ254,AS280:AU293,3,0))</f>
      </c>
      <c r="BS254" s="166">
        <f>IF(BF251="","",ROUND(BP255*BF251/BD254,0))</f>
      </c>
    </row>
    <row r="255" spans="34:71" ht="14.25" hidden="1">
      <c r="AH255" s="166">
        <v>4</v>
      </c>
      <c r="AI255" s="235">
        <v>41730</v>
      </c>
      <c r="AJ255" s="204">
        <v>41760</v>
      </c>
      <c r="AK255" s="202">
        <v>5</v>
      </c>
      <c r="AL255" s="204">
        <v>41730</v>
      </c>
      <c r="AM255" s="191">
        <v>4</v>
      </c>
      <c r="AN255" s="206"/>
      <c r="AO255" s="206"/>
      <c r="AV255" s="190"/>
      <c r="AW255" s="205">
        <f>VLOOKUP(AT247,AQ$153:AR$166,2,TRUE)</f>
        <v>42063</v>
      </c>
      <c r="AX255" s="202"/>
      <c r="AY255" s="202"/>
      <c r="AZ255" s="202"/>
      <c r="BA255" s="202">
        <f>DAY(BA252)</f>
        <v>28</v>
      </c>
      <c r="BB255" s="202"/>
      <c r="BC255" s="202"/>
      <c r="BD255" s="202">
        <f>AS252</f>
      </c>
      <c r="BE255" s="202">
        <f>IF(BD255="","",BD255-BD252)</f>
      </c>
      <c r="BF255" s="191"/>
      <c r="BG255" s="166">
        <f>IF(BF251=BE251,BF251,IF(BF252=BE252,BF252,IF(BF253=BE253,BF253,IF(BF251="",IF(BF252="",IF(BF253="",""))))))</f>
      </c>
      <c r="BL255" s="166">
        <f>IF(BG255="","",BL254)</f>
      </c>
      <c r="BN255" s="166">
        <f>IF(BG255="","",BN254)</f>
      </c>
      <c r="BP255" s="166">
        <f>IF(BF251="","",IF(BU$172=2,VLOOKUP(BQ254,AS$280:AU$293,3,0),IF(BU$172=3,VLOOKUP(BQ254,AS$280:AU$293,3,0),IF(BU$172=1,0))))</f>
      </c>
      <c r="BQ255" s="206">
        <f>IF(BF252="","",VLOOKUP(BG252,BQ$250:BR$252,2,0))</f>
      </c>
      <c r="BS255" s="166">
        <f>IF(BF252="","",ROUND(BP256*BF252/BD255,0))</f>
      </c>
    </row>
    <row r="256" spans="34:71" ht="14.25" hidden="1">
      <c r="AH256" s="166">
        <v>5</v>
      </c>
      <c r="AI256" s="235">
        <v>41760</v>
      </c>
      <c r="AJ256" s="204">
        <v>41791</v>
      </c>
      <c r="AK256" s="202">
        <v>6</v>
      </c>
      <c r="AL256" s="204">
        <v>41760</v>
      </c>
      <c r="AM256" s="191">
        <v>5</v>
      </c>
      <c r="AN256" s="206"/>
      <c r="AO256" s="206"/>
      <c r="AV256" s="196"/>
      <c r="AW256" s="205">
        <f>VLOOKUP(AT248,AQ$153:AR$166,2,TRUE)</f>
        <v>42063</v>
      </c>
      <c r="AX256" s="211"/>
      <c r="AY256" s="211"/>
      <c r="AZ256" s="211"/>
      <c r="BA256" s="211">
        <f>DAY(BA253)</f>
        <v>28</v>
      </c>
      <c r="BB256" s="211"/>
      <c r="BC256" s="211"/>
      <c r="BD256" s="211">
        <f>AS253</f>
      </c>
      <c r="BE256" s="211">
        <f>IF(BD256="","",(BD256-BD253))</f>
      </c>
      <c r="BF256" s="197"/>
      <c r="BG256" s="166" t="str">
        <f>CONCATENATE(BG254," Arrears")</f>
        <v> Arrears</v>
      </c>
      <c r="BP256" s="166">
        <f>IF(BF252="","",IF(BU$172=2,VLOOKUP(BQ255,AS$280:AU$293,3,0),IF(BU$172=3,VLOOKUP(BQ255,AS$280:AU$293,3,0),IF(BU$172=1,0))))</f>
      </c>
      <c r="BQ256" s="206">
        <f>IF(BF253="","",VLOOKUP(BG253,BQ$250:BR$252,2,0))</f>
      </c>
      <c r="BS256" s="166">
        <f>IF(BF253="","",ROUND(BP257*BF253/BD256,0))</f>
      </c>
    </row>
    <row r="257" spans="34:68" ht="14.25" hidden="1">
      <c r="AH257" s="166">
        <v>6</v>
      </c>
      <c r="AI257" s="235">
        <v>41791</v>
      </c>
      <c r="AJ257" s="204">
        <v>41821</v>
      </c>
      <c r="AK257" s="202">
        <v>7</v>
      </c>
      <c r="AL257" s="204">
        <v>41791</v>
      </c>
      <c r="AM257" s="191">
        <v>6</v>
      </c>
      <c r="AN257" s="206"/>
      <c r="AO257" s="206"/>
      <c r="BA257" s="166" t="s">
        <v>290</v>
      </c>
      <c r="BH257" s="166" t="s">
        <v>291</v>
      </c>
      <c r="BI257" s="166" t="s">
        <v>292</v>
      </c>
      <c r="BP257" s="166">
        <f>IF(BF253="","",IF(BU$172=2,VLOOKUP(BQ256,AS$280:AU$293,3,0),IF(BU$172=3,VLOOKUP(BQ256,AS$280:AU$293,3,0),IF(BU$172=1,0))))</f>
      </c>
    </row>
    <row r="258" spans="34:84" ht="14.25" hidden="1">
      <c r="AH258" s="166">
        <v>7</v>
      </c>
      <c r="AI258" s="235">
        <v>41821</v>
      </c>
      <c r="AJ258" s="204">
        <v>41852</v>
      </c>
      <c r="AK258" s="202">
        <v>8</v>
      </c>
      <c r="AL258" s="204">
        <v>41821</v>
      </c>
      <c r="AM258" s="191">
        <v>7</v>
      </c>
      <c r="AN258" s="206"/>
      <c r="AO258" s="304">
        <f>VLOOKUP(AO251,AL251:AM265,2,0)</f>
        <v>8</v>
      </c>
      <c r="AP258" s="305"/>
      <c r="AQ258" s="200"/>
      <c r="AR258" s="200"/>
      <c r="AS258" s="189" t="s">
        <v>290</v>
      </c>
      <c r="AV258" s="188">
        <f>IF(AQ$268=1,AS$259,AT249)</f>
        <v>17050</v>
      </c>
      <c r="AW258" s="200">
        <f>IF(AQ$269=1,AS$260,AV258)</f>
        <v>17050</v>
      </c>
      <c r="AX258" s="200">
        <f>IF(AQ$270=1,AS$261,AW258)</f>
        <v>17050</v>
      </c>
      <c r="AY258" s="306">
        <f>MAX(AV258:AX258,0)</f>
        <v>17050</v>
      </c>
      <c r="AZ258" s="299">
        <v>41640</v>
      </c>
      <c r="BA258" s="189">
        <f>AY258</f>
        <v>17050</v>
      </c>
      <c r="BB258" s="166">
        <v>1</v>
      </c>
      <c r="BG258" s="206">
        <v>41640</v>
      </c>
      <c r="BH258" s="288">
        <v>0.63344</v>
      </c>
      <c r="BI258" s="288">
        <v>0.71904</v>
      </c>
      <c r="BL258" s="166">
        <f>ROUND(BG268*BH258,0)</f>
        <v>10800</v>
      </c>
      <c r="CB258" s="166" t="s">
        <v>293</v>
      </c>
      <c r="CD258" s="166">
        <f>IF((CD259-CC259)&lt;0,0,(CD259-CC259))</f>
        <v>136882</v>
      </c>
      <c r="CE258" s="166">
        <f>IF(CE259&lt;0,0,CE259)</f>
        <v>136882</v>
      </c>
      <c r="CF258" s="166">
        <f>IF(CF259&lt;0,0,CF259)</f>
        <v>136882</v>
      </c>
    </row>
    <row r="259" spans="34:84" ht="15" hidden="1">
      <c r="AH259" s="166">
        <v>8</v>
      </c>
      <c r="AI259" s="235">
        <v>41852</v>
      </c>
      <c r="AJ259" s="204">
        <v>41883</v>
      </c>
      <c r="AK259" s="202">
        <v>9</v>
      </c>
      <c r="AL259" s="204">
        <v>41852</v>
      </c>
      <c r="AM259" s="191">
        <v>8</v>
      </c>
      <c r="AN259" s="206"/>
      <c r="AO259" s="307">
        <f>VLOOKUP(AO252,AL251:AM265,2,0)</f>
        <v>14</v>
      </c>
      <c r="AP259" s="308"/>
      <c r="AQ259" s="202"/>
      <c r="AR259" s="202"/>
      <c r="AS259" s="191">
        <f>AT259</f>
        <v>17540</v>
      </c>
      <c r="AT259" s="166">
        <f>IF(BW185=1,AS251,AO246)</f>
        <v>17540</v>
      </c>
      <c r="AV259" s="190">
        <f>IF(AQ$268=2,AS$259,AV258)</f>
        <v>17050</v>
      </c>
      <c r="AW259" s="202">
        <f>IF(AQ$269=2,AS$260,AW258)</f>
        <v>17050</v>
      </c>
      <c r="AX259" s="202">
        <f>IF(AQ$270=2,AS$261,AX258)</f>
        <v>17050</v>
      </c>
      <c r="AY259" s="202">
        <f>MAX(AV259:AX259,0)</f>
        <v>17050</v>
      </c>
      <c r="AZ259" s="204">
        <v>41671</v>
      </c>
      <c r="BA259" s="191">
        <f>AY259</f>
        <v>17050</v>
      </c>
      <c r="BB259" s="166">
        <v>2</v>
      </c>
      <c r="BG259" s="206">
        <v>41821</v>
      </c>
      <c r="BH259" s="288">
        <v>0.71904</v>
      </c>
      <c r="BI259" s="288">
        <v>0.77896</v>
      </c>
      <c r="BJ259" s="288">
        <f>BI259-BI258</f>
        <v>0.05991999999999997</v>
      </c>
      <c r="CA259" s="202"/>
      <c r="CB259" s="309"/>
      <c r="CC259" s="310">
        <v>250000</v>
      </c>
      <c r="CD259" s="859">
        <f>'Annexure -I I'!L42</f>
        <v>386882</v>
      </c>
      <c r="CE259" s="311">
        <f>IF((CD259-CD260)&lt;CC260,CD259,(CD259-CD260))-CC259</f>
        <v>136882</v>
      </c>
      <c r="CF259" s="312">
        <f>CE259+CD260</f>
        <v>136882</v>
      </c>
    </row>
    <row r="260" spans="34:85" ht="15" hidden="1">
      <c r="AH260" s="166">
        <v>9</v>
      </c>
      <c r="AI260" s="235">
        <v>41883</v>
      </c>
      <c r="AJ260" s="204">
        <v>41913</v>
      </c>
      <c r="AK260" s="202">
        <v>10</v>
      </c>
      <c r="AL260" s="204">
        <v>41883</v>
      </c>
      <c r="AM260" s="191">
        <v>9</v>
      </c>
      <c r="AN260" s="206"/>
      <c r="AO260" s="307">
        <f>VLOOKUP(AO253,AL251:AM265,2,0)</f>
        <v>14</v>
      </c>
      <c r="AP260" s="202"/>
      <c r="AQ260" s="202"/>
      <c r="AR260" s="202"/>
      <c r="AS260" s="191">
        <f>AT260</f>
      </c>
      <c r="AT260" s="166">
        <f>IF(BW185=1,AS252,AO247)</f>
      </c>
      <c r="AV260" s="190">
        <f>IF(AQ$268=3,AS$259,AV259)</f>
        <v>17050</v>
      </c>
      <c r="AW260" s="202">
        <f>IF(AQ$269=3,AS$260,AW259)</f>
        <v>17050</v>
      </c>
      <c r="AX260" s="202">
        <f>IF(AQ$270=3,AS$261,AX259)</f>
        <v>17050</v>
      </c>
      <c r="AY260" s="202">
        <f aca="true" t="shared" si="25" ref="AY260:AY271">MAX(AV260:AX260,0)</f>
        <v>17050</v>
      </c>
      <c r="AZ260" s="204">
        <v>41699</v>
      </c>
      <c r="BA260" s="191">
        <f aca="true" t="shared" si="26" ref="BA260:BA270">AY260</f>
        <v>17050</v>
      </c>
      <c r="BB260" s="166">
        <v>3</v>
      </c>
      <c r="CA260" s="202"/>
      <c r="CB260" s="313"/>
      <c r="CC260" s="314">
        <v>500000</v>
      </c>
      <c r="CD260" s="315">
        <f>IF((CD259-CC260)&lt;0,0,(CD259-CC260))</f>
        <v>0</v>
      </c>
      <c r="CE260" s="315">
        <f>CD260</f>
        <v>0</v>
      </c>
      <c r="CF260" s="191"/>
      <c r="CG260" s="277"/>
    </row>
    <row r="261" spans="34:84" ht="15" hidden="1">
      <c r="AH261" s="166">
        <v>10</v>
      </c>
      <c r="AI261" s="235">
        <v>41913</v>
      </c>
      <c r="AJ261" s="204">
        <v>41944</v>
      </c>
      <c r="AK261" s="202">
        <v>11</v>
      </c>
      <c r="AL261" s="204">
        <v>41913</v>
      </c>
      <c r="AM261" s="191">
        <v>10</v>
      </c>
      <c r="AN261" s="206"/>
      <c r="AO261" s="307"/>
      <c r="AP261" s="202"/>
      <c r="AQ261" s="202"/>
      <c r="AR261" s="202"/>
      <c r="AS261" s="191">
        <f>AT261</f>
      </c>
      <c r="AT261" s="166">
        <f>IF(BW185=1,AS253,AO248)</f>
      </c>
      <c r="AV261" s="190">
        <f>IF(AQ$268=4,AS$259,AV260)</f>
        <v>17050</v>
      </c>
      <c r="AW261" s="202">
        <f>IF(AQ$269=4,AS$260,AW260)</f>
        <v>17050</v>
      </c>
      <c r="AX261" s="202">
        <f>IF(AQ$270=4,AS$261,AX260)</f>
        <v>17050</v>
      </c>
      <c r="AY261" s="202">
        <f t="shared" si="25"/>
        <v>17050</v>
      </c>
      <c r="AZ261" s="204">
        <v>41730</v>
      </c>
      <c r="BA261" s="191">
        <f t="shared" si="26"/>
        <v>17050</v>
      </c>
      <c r="BB261" s="166">
        <v>4</v>
      </c>
      <c r="BG261" s="181" t="s">
        <v>32</v>
      </c>
      <c r="BJ261" s="166" t="s">
        <v>294</v>
      </c>
      <c r="BN261" s="182" t="s">
        <v>33</v>
      </c>
      <c r="CA261" s="316">
        <f>'Annexure -I I'!L48</f>
        <v>2000</v>
      </c>
      <c r="CB261" s="309"/>
      <c r="CC261" s="267"/>
      <c r="CD261" s="202">
        <f>IF(CD262&gt;0,CD262,0)</f>
        <v>11688</v>
      </c>
      <c r="CE261" s="202"/>
      <c r="CF261" s="191"/>
    </row>
    <row r="262" spans="34:84" ht="15" hidden="1">
      <c r="AH262" s="166">
        <v>11</v>
      </c>
      <c r="AI262" s="235">
        <v>41944</v>
      </c>
      <c r="AJ262" s="204">
        <v>41974</v>
      </c>
      <c r="AK262" s="202">
        <v>12</v>
      </c>
      <c r="AL262" s="204">
        <v>41944</v>
      </c>
      <c r="AM262" s="191">
        <v>11</v>
      </c>
      <c r="AN262" s="206"/>
      <c r="AO262" s="307"/>
      <c r="AP262" s="202"/>
      <c r="AQ262" s="202"/>
      <c r="AR262" s="202"/>
      <c r="AS262" s="191"/>
      <c r="AV262" s="190">
        <f>IF(AQ$268=5,AS$259,AV261)</f>
        <v>17050</v>
      </c>
      <c r="AW262" s="202">
        <f>IF(AQ$269=5,AS$260,AW261)</f>
        <v>17050</v>
      </c>
      <c r="AX262" s="202">
        <f>IF(AQ$270=5,AS$261,AX261)</f>
        <v>17050</v>
      </c>
      <c r="AY262" s="202">
        <f t="shared" si="25"/>
        <v>17050</v>
      </c>
      <c r="AZ262" s="204">
        <v>41760</v>
      </c>
      <c r="BA262" s="191">
        <f t="shared" si="26"/>
        <v>17050</v>
      </c>
      <c r="BB262" s="166">
        <v>5</v>
      </c>
      <c r="BF262" s="204">
        <v>41640</v>
      </c>
      <c r="BG262" s="166">
        <f>BA258</f>
        <v>17050</v>
      </c>
      <c r="BH262" s="166">
        <f aca="true" t="shared" si="27" ref="BH262:BH267">ROUND(BG262*BH$258,0)</f>
        <v>10800</v>
      </c>
      <c r="BI262" s="166">
        <f aca="true" t="shared" si="28" ref="BI262:BI267">ROUND(BG262*BI$258,0)</f>
        <v>12260</v>
      </c>
      <c r="BJ262" s="166">
        <f>BI262-BH262</f>
        <v>1460</v>
      </c>
      <c r="BK262" s="288">
        <f>BH$258</f>
        <v>0.63344</v>
      </c>
      <c r="BL262" s="166">
        <f>BH262</f>
        <v>10800</v>
      </c>
      <c r="BM262" s="166">
        <f>BI262</f>
        <v>12260</v>
      </c>
      <c r="BN262" s="166">
        <f>BL262</f>
        <v>10800</v>
      </c>
      <c r="BO262" s="166">
        <f>ROUND(BG262*BH$258,0)</f>
        <v>10800</v>
      </c>
      <c r="BS262" s="188" t="s">
        <v>295</v>
      </c>
      <c r="BT262" s="189" t="s">
        <v>296</v>
      </c>
      <c r="CA262" s="316">
        <f>IF(CC262&gt;=2000,2000,CC262)</f>
        <v>2000</v>
      </c>
      <c r="CB262" s="309"/>
      <c r="CC262" s="267">
        <f>ROUND(CE258*0.1,0)</f>
        <v>13688</v>
      </c>
      <c r="CD262" s="202">
        <f>ROUND(CE258*0.1,0)-CA261</f>
        <v>11688</v>
      </c>
      <c r="CE262" s="202">
        <f>ROUND(CD261*0.01,0)</f>
        <v>117</v>
      </c>
      <c r="CF262" s="191">
        <f>ROUND(CD261*0.02,0)</f>
        <v>234</v>
      </c>
    </row>
    <row r="263" spans="34:84" ht="15" hidden="1">
      <c r="AH263" s="166">
        <v>12</v>
      </c>
      <c r="AI263" s="235">
        <v>41974</v>
      </c>
      <c r="AJ263" s="204">
        <v>42005</v>
      </c>
      <c r="AK263" s="202">
        <v>13</v>
      </c>
      <c r="AL263" s="204">
        <v>41974</v>
      </c>
      <c r="AM263" s="191">
        <v>12</v>
      </c>
      <c r="AN263" s="206"/>
      <c r="AO263" s="235"/>
      <c r="AP263" s="202"/>
      <c r="AQ263" s="202"/>
      <c r="AR263" s="202"/>
      <c r="AS263" s="191"/>
      <c r="AV263" s="190">
        <f>IF(AQ$268=6,AS$259,AV262)</f>
        <v>17050</v>
      </c>
      <c r="AW263" s="202">
        <f>IF(AQ$269=6,AS$260,AW262)</f>
        <v>17050</v>
      </c>
      <c r="AX263" s="202">
        <f>IF(AQ$270=6,AS$261,AX262)</f>
        <v>17050</v>
      </c>
      <c r="AY263" s="202">
        <f t="shared" si="25"/>
        <v>17050</v>
      </c>
      <c r="AZ263" s="204">
        <v>41791</v>
      </c>
      <c r="BA263" s="191">
        <f t="shared" si="26"/>
        <v>17050</v>
      </c>
      <c r="BB263" s="166">
        <v>6</v>
      </c>
      <c r="BF263" s="204">
        <v>41671</v>
      </c>
      <c r="BG263" s="166">
        <f aca="true" t="shared" si="29" ref="BG263:BG275">BA259</f>
        <v>17050</v>
      </c>
      <c r="BH263" s="166">
        <f t="shared" si="27"/>
        <v>10800</v>
      </c>
      <c r="BI263" s="166">
        <f t="shared" si="28"/>
        <v>12260</v>
      </c>
      <c r="BJ263" s="166">
        <f aca="true" t="shared" si="30" ref="BJ263:BJ275">BI263-BH263</f>
        <v>1460</v>
      </c>
      <c r="BK263" s="288">
        <f>BH$258</f>
        <v>0.63344</v>
      </c>
      <c r="BL263" s="166">
        <f>BH263</f>
        <v>10800</v>
      </c>
      <c r="BM263" s="166">
        <f>IF(BI$305&lt;=2,BI263,BM262)</f>
        <v>12260</v>
      </c>
      <c r="BN263" s="166">
        <f aca="true" t="shared" si="31" ref="BN263:BN271">BL263</f>
        <v>10800</v>
      </c>
      <c r="BO263" s="166">
        <f>ROUND(BG263*BH$258,0)</f>
        <v>10800</v>
      </c>
      <c r="BS263" s="190">
        <f>G29</f>
        <v>0</v>
      </c>
      <c r="BT263" s="191"/>
      <c r="CA263" s="316"/>
      <c r="CB263" s="309"/>
      <c r="CC263" s="267"/>
      <c r="CD263" s="202">
        <f>ROUND(CD260*0.2,0)</f>
        <v>0</v>
      </c>
      <c r="CE263" s="202">
        <f>ROUND(CD263*0.01,0)</f>
        <v>0</v>
      </c>
      <c r="CF263" s="191">
        <f>ROUND(CD263*0.02,0)</f>
        <v>0</v>
      </c>
    </row>
    <row r="264" spans="34:84" ht="15" hidden="1">
      <c r="AH264" s="166">
        <v>13</v>
      </c>
      <c r="AI264" s="235">
        <v>42005</v>
      </c>
      <c r="AJ264" s="204">
        <v>42036</v>
      </c>
      <c r="AK264" s="202">
        <v>14</v>
      </c>
      <c r="AL264" s="204">
        <v>42005</v>
      </c>
      <c r="AM264" s="191">
        <v>13</v>
      </c>
      <c r="AN264" s="214">
        <v>1</v>
      </c>
      <c r="AO264" s="190" t="s">
        <v>8</v>
      </c>
      <c r="AP264" s="202">
        <v>1</v>
      </c>
      <c r="AQ264" s="204">
        <f>VLOOKUP(AO251,AI$251:AJ$265,2,0)</f>
        <v>41883</v>
      </c>
      <c r="AR264" s="317">
        <f>VLOOKUP(AQ264,AJ$251:AK$265,2,0)</f>
        <v>9</v>
      </c>
      <c r="AS264" s="840">
        <v>41671</v>
      </c>
      <c r="AV264" s="190">
        <f>IF(AQ$268=7,AS$259,AV263)</f>
        <v>17050</v>
      </c>
      <c r="AW264" s="202">
        <f>IF(AQ$269=7,AS$260,AW263)</f>
        <v>17050</v>
      </c>
      <c r="AX264" s="202">
        <f>IF(AQ$270=7,AS$261,AX263)</f>
        <v>17050</v>
      </c>
      <c r="AY264" s="202">
        <f t="shared" si="25"/>
        <v>17050</v>
      </c>
      <c r="AZ264" s="204">
        <v>41821</v>
      </c>
      <c r="BA264" s="191">
        <f t="shared" si="26"/>
        <v>17050</v>
      </c>
      <c r="BB264" s="166">
        <v>7</v>
      </c>
      <c r="BF264" s="204">
        <v>41699</v>
      </c>
      <c r="BG264" s="166">
        <f t="shared" si="29"/>
        <v>17050</v>
      </c>
      <c r="BH264" s="166">
        <f t="shared" si="27"/>
        <v>10800</v>
      </c>
      <c r="BI264" s="166">
        <f t="shared" si="28"/>
        <v>12260</v>
      </c>
      <c r="BJ264" s="166">
        <f t="shared" si="30"/>
        <v>1460</v>
      </c>
      <c r="BK264" s="288">
        <f>BH$258</f>
        <v>0.63344</v>
      </c>
      <c r="BL264" s="166">
        <f>IF(BH$280&lt;=3,BH264,BL263)</f>
        <v>10800</v>
      </c>
      <c r="BM264" s="166">
        <f>IF(BI$305&lt;=3,BI264,BM263)</f>
        <v>12260</v>
      </c>
      <c r="BN264" s="166">
        <f t="shared" si="31"/>
        <v>10800</v>
      </c>
      <c r="BO264" s="166">
        <f>ROUND(BG264*BH$258,0)</f>
        <v>10800</v>
      </c>
      <c r="BS264" s="190">
        <f>ROUND(BS263/2,0)</f>
        <v>0</v>
      </c>
      <c r="BT264" s="191">
        <v>25000</v>
      </c>
      <c r="CA264" s="316"/>
      <c r="CB264" s="309"/>
      <c r="CC264" s="272"/>
      <c r="CD264" s="211">
        <f>IF(CD263=0,0,0)</f>
        <v>0</v>
      </c>
      <c r="CE264" s="211">
        <f>CE262+CE263</f>
        <v>117</v>
      </c>
      <c r="CF264" s="197">
        <f>CF262+CF263</f>
        <v>234</v>
      </c>
    </row>
    <row r="265" spans="34:72" ht="14.25" hidden="1">
      <c r="AH265" s="166">
        <v>14</v>
      </c>
      <c r="AI265" s="235">
        <v>42036</v>
      </c>
      <c r="AJ265" s="204">
        <v>42064</v>
      </c>
      <c r="AK265" s="202">
        <v>15</v>
      </c>
      <c r="AL265" s="204">
        <v>42036</v>
      </c>
      <c r="AM265" s="191">
        <v>14</v>
      </c>
      <c r="AN265" s="214">
        <v>2</v>
      </c>
      <c r="AO265" s="190" t="s">
        <v>809</v>
      </c>
      <c r="AP265" s="202">
        <v>2</v>
      </c>
      <c r="AQ265" s="204">
        <f>VLOOKUP(AO252,AI$251:AJ$265,2,0)</f>
        <v>42064</v>
      </c>
      <c r="AR265" s="317">
        <f>VLOOKUP(AQ265,AJ$251:AK$265,2,0)</f>
        <v>15</v>
      </c>
      <c r="AS265" s="191"/>
      <c r="AV265" s="190">
        <f>IF(AQ$268=8,AS$259,AV264)</f>
        <v>17540</v>
      </c>
      <c r="AW265" s="202">
        <f>IF(AQ$269=8,AS$260,AW264)</f>
        <v>17050</v>
      </c>
      <c r="AX265" s="202">
        <f>IF(AQ$270=8,AS$261,AX264)</f>
        <v>17050</v>
      </c>
      <c r="AY265" s="202">
        <f t="shared" si="25"/>
        <v>17540</v>
      </c>
      <c r="AZ265" s="204">
        <v>41852</v>
      </c>
      <c r="BA265" s="191">
        <f t="shared" si="26"/>
        <v>17540</v>
      </c>
      <c r="BB265" s="166">
        <v>8</v>
      </c>
      <c r="BF265" s="204">
        <v>41730</v>
      </c>
      <c r="BG265" s="166">
        <f t="shared" si="29"/>
        <v>17050</v>
      </c>
      <c r="BH265" s="166">
        <f t="shared" si="27"/>
        <v>10800</v>
      </c>
      <c r="BI265" s="166">
        <f t="shared" si="28"/>
        <v>12260</v>
      </c>
      <c r="BJ265" s="166">
        <f t="shared" si="30"/>
        <v>1460</v>
      </c>
      <c r="BK265" s="288">
        <f>BH$258</f>
        <v>0.63344</v>
      </c>
      <c r="BL265" s="166">
        <f>IF(BH$280&lt;=4,BH265,BL264)</f>
        <v>10800</v>
      </c>
      <c r="BM265" s="166">
        <f>IF(BI$305&lt;=4,BI265,BM264)</f>
        <v>12260</v>
      </c>
      <c r="BN265" s="166">
        <f t="shared" si="31"/>
        <v>10800</v>
      </c>
      <c r="BO265" s="166">
        <f>ROUND(BG265*BH$258,0)</f>
        <v>10800</v>
      </c>
      <c r="BS265" s="196"/>
      <c r="BT265" s="197">
        <f>IF(BS264&lt;=BT264,BS264,IF(BS264&gt;=BT264,BT264))</f>
        <v>0</v>
      </c>
    </row>
    <row r="266" spans="33:67" ht="14.25" hidden="1">
      <c r="AG266" s="166">
        <f>AZ176</f>
        <v>12</v>
      </c>
      <c r="AH266" s="166">
        <f>AZ177</f>
        <v>14.5</v>
      </c>
      <c r="AI266" s="196"/>
      <c r="AJ266" s="211"/>
      <c r="AK266" s="211"/>
      <c r="AL266" s="211" t="s">
        <v>8</v>
      </c>
      <c r="AM266" s="197">
        <f>IF(AL266="No Change","","")</f>
      </c>
      <c r="AN266" s="214">
        <v>3</v>
      </c>
      <c r="AO266" s="190" t="s">
        <v>93</v>
      </c>
      <c r="AP266" s="202">
        <v>3</v>
      </c>
      <c r="AQ266" s="204">
        <f>VLOOKUP(AO253,AI$251:AJ$265,2,0)</f>
        <v>42064</v>
      </c>
      <c r="AR266" s="317">
        <f>VLOOKUP(AQ266,AJ$251:AK$265,2,0)</f>
        <v>15</v>
      </c>
      <c r="AS266" s="191"/>
      <c r="AV266" s="190">
        <f>IF(AQ$268=9,AS$259,AV265)</f>
        <v>17540</v>
      </c>
      <c r="AW266" s="202">
        <f>IF(AQ$269=9,AS$260,AW265)</f>
        <v>17050</v>
      </c>
      <c r="AX266" s="202">
        <f>IF(AQ$270=9,AS$261,AX265)</f>
        <v>17050</v>
      </c>
      <c r="AY266" s="202">
        <f t="shared" si="25"/>
        <v>17540</v>
      </c>
      <c r="AZ266" s="204">
        <v>41883</v>
      </c>
      <c r="BA266" s="191">
        <f t="shared" si="26"/>
        <v>17540</v>
      </c>
      <c r="BB266" s="166">
        <v>9</v>
      </c>
      <c r="BF266" s="204">
        <v>41760</v>
      </c>
      <c r="BG266" s="166">
        <f t="shared" si="29"/>
        <v>17050</v>
      </c>
      <c r="BH266" s="166">
        <f t="shared" si="27"/>
        <v>10800</v>
      </c>
      <c r="BI266" s="166">
        <f t="shared" si="28"/>
        <v>12260</v>
      </c>
      <c r="BJ266" s="166">
        <f t="shared" si="30"/>
        <v>1460</v>
      </c>
      <c r="BK266" s="288">
        <f>IF(BH$280&lt;=5,BI$258,BK265)</f>
        <v>0.71904</v>
      </c>
      <c r="BL266" s="166">
        <f>IF(BH$280&lt;=5,BH266,BL265)</f>
        <v>10800</v>
      </c>
      <c r="BM266" s="166">
        <f>IF(BI$305&lt;=5,BI266,BM265)</f>
        <v>12260</v>
      </c>
      <c r="BN266" s="166">
        <f t="shared" si="31"/>
        <v>10800</v>
      </c>
      <c r="BO266" s="166">
        <f>IF(BH280&lt;5,ROUND(BG266*BH$259,0),ROUND(BG266*BH$258,0))</f>
        <v>12260</v>
      </c>
    </row>
    <row r="267" spans="35:80" ht="14.25" hidden="1">
      <c r="AI267" s="166">
        <f>AZ176</f>
        <v>12</v>
      </c>
      <c r="AJ267" s="166">
        <f>AI267</f>
        <v>12</v>
      </c>
      <c r="AN267" s="214">
        <v>4</v>
      </c>
      <c r="AO267" s="190" t="s">
        <v>96</v>
      </c>
      <c r="AP267" s="202">
        <v>4</v>
      </c>
      <c r="AQ267" s="202"/>
      <c r="AR267" s="202"/>
      <c r="AS267" s="191"/>
      <c r="AV267" s="190">
        <f>IF(AQ$268=10,AS$259,AV266)</f>
        <v>17540</v>
      </c>
      <c r="AW267" s="202">
        <f>IF(AQ$269=10,AS$260,AW266)</f>
        <v>17050</v>
      </c>
      <c r="AX267" s="202">
        <f>IF(AQ$270=10,AS$261,AX266)</f>
        <v>17050</v>
      </c>
      <c r="AY267" s="202">
        <f t="shared" si="25"/>
        <v>17540</v>
      </c>
      <c r="AZ267" s="204">
        <v>41913</v>
      </c>
      <c r="BA267" s="191">
        <f t="shared" si="26"/>
        <v>17540</v>
      </c>
      <c r="BB267" s="166">
        <v>10</v>
      </c>
      <c r="BF267" s="204">
        <v>41791</v>
      </c>
      <c r="BG267" s="166">
        <f t="shared" si="29"/>
        <v>17050</v>
      </c>
      <c r="BH267" s="166">
        <f t="shared" si="27"/>
        <v>10800</v>
      </c>
      <c r="BI267" s="166">
        <f t="shared" si="28"/>
        <v>12260</v>
      </c>
      <c r="BJ267" s="166">
        <f>BI267-BH267</f>
        <v>1460</v>
      </c>
      <c r="BK267" s="288">
        <f>IF(BH$280&lt;=6,BI$258,BK266)</f>
        <v>0.71904</v>
      </c>
      <c r="BL267" s="166">
        <f>IF(BH$280&lt;=6,BH267,BL266)</f>
        <v>10800</v>
      </c>
      <c r="BM267" s="166">
        <f>IF(BI$305&lt;=6,BI267,BM266)</f>
        <v>12260</v>
      </c>
      <c r="BN267" s="166">
        <f t="shared" si="31"/>
        <v>10800</v>
      </c>
      <c r="BO267" s="166">
        <f>IF(BH280&lt;6,ROUND(BG267*BH$259,0),ROUND(BG267*BH$258,0))</f>
        <v>12260</v>
      </c>
      <c r="BP267" s="206"/>
      <c r="BW267" s="166" t="s">
        <v>788</v>
      </c>
      <c r="BZ267" s="692">
        <v>1</v>
      </c>
      <c r="CA267" s="693" t="s">
        <v>786</v>
      </c>
      <c r="CB267" s="694"/>
    </row>
    <row r="268" spans="32:80" ht="14.25" hidden="1">
      <c r="AF268" s="206"/>
      <c r="AG268" s="227" t="s">
        <v>297</v>
      </c>
      <c r="AH268" s="285" t="s">
        <v>297</v>
      </c>
      <c r="AI268" s="318" t="s">
        <v>34</v>
      </c>
      <c r="AJ268" s="200"/>
      <c r="AK268" s="200" t="s">
        <v>22</v>
      </c>
      <c r="AL268" s="200" t="s">
        <v>298</v>
      </c>
      <c r="AM268" s="189" t="s">
        <v>149</v>
      </c>
      <c r="AN268" s="214">
        <v>5</v>
      </c>
      <c r="AO268" s="190" t="s">
        <v>100</v>
      </c>
      <c r="AP268" s="202">
        <v>5</v>
      </c>
      <c r="AQ268" s="202">
        <f>IF(AP271=AO$265,AO258,IF(AP271=AO$266,AO258,IF(AP271=AO$267,AO258,IF(AP271=AO$268,AR264,IF(AP271=AO$269,AR264,IF(AP271=AO$270,AR264,IF(AP271=AO$264,"")))))))</f>
        <v>8</v>
      </c>
      <c r="AR268" s="202"/>
      <c r="AS268" s="319"/>
      <c r="AV268" s="190">
        <f>IF(AQ$268=11,AS$259,AV267)</f>
        <v>17540</v>
      </c>
      <c r="AW268" s="202">
        <f>IF(AQ$269=11,AS$260,AW267)</f>
        <v>17050</v>
      </c>
      <c r="AX268" s="202">
        <f>IF(AQ$270=11,AS$261,AX267)</f>
        <v>17050</v>
      </c>
      <c r="AY268" s="202">
        <f t="shared" si="25"/>
        <v>17540</v>
      </c>
      <c r="AZ268" s="204">
        <v>41944</v>
      </c>
      <c r="BA268" s="191">
        <f t="shared" si="26"/>
        <v>17540</v>
      </c>
      <c r="BB268" s="166">
        <v>11</v>
      </c>
      <c r="BF268" s="204">
        <v>41821</v>
      </c>
      <c r="BG268" s="166">
        <f t="shared" si="29"/>
        <v>17050</v>
      </c>
      <c r="BH268" s="166">
        <f>ROUND(BG268*BI$258,0)</f>
        <v>12260</v>
      </c>
      <c r="BI268" s="166">
        <f>ROUND(BG268*BI$259,0)</f>
        <v>13281</v>
      </c>
      <c r="BJ268" s="166">
        <f>BI268-BH268</f>
        <v>1021</v>
      </c>
      <c r="BK268" s="288">
        <f>IF(BH$280&lt;=7,BI$258,BK267)</f>
        <v>0.71904</v>
      </c>
      <c r="BL268" s="166">
        <f>IF(BH$280&lt;=7,BH268,BL267)</f>
        <v>12260</v>
      </c>
      <c r="BM268" s="166">
        <f>IF(BI$305&lt;=7,BD271,BM267)</f>
        <v>12260</v>
      </c>
      <c r="BN268" s="166">
        <f t="shared" si="31"/>
        <v>12260</v>
      </c>
      <c r="BO268" s="166">
        <f>IF(BH280&lt;7,ROUND(BG268*BH$259,0),ROUND(BG268*BH$258,0))</f>
        <v>12260</v>
      </c>
      <c r="BP268" s="214"/>
      <c r="BZ268" s="695">
        <v>2</v>
      </c>
      <c r="CA268" s="202" t="s">
        <v>787</v>
      </c>
      <c r="CB268" s="696"/>
    </row>
    <row r="269" spans="32:80" ht="14.25" hidden="1">
      <c r="AF269" s="232">
        <f>VLOOKUP(AH269,AH252:AI265,2,FALSE)</f>
        <v>41883</v>
      </c>
      <c r="AG269" s="320">
        <f>IF(O31="",0,(VLOOKUP(AF269,AL252:AM266,2,0)+2))</f>
        <v>0</v>
      </c>
      <c r="AH269" s="321">
        <v>9</v>
      </c>
      <c r="AI269" s="190">
        <f>VLOOKUP(AX141,AL252:AM266,2,0)</f>
      </c>
      <c r="AJ269" s="204">
        <v>41671</v>
      </c>
      <c r="AK269" s="317">
        <f>IF(O24="",0,(VLOOKUP(AX140,AL252:AM266,2,0)+3))</f>
        <v>0</v>
      </c>
      <c r="AL269" s="317">
        <f>IF(O26="",0,(VLOOKUP(AZ140,AL252:AM266,2,0)+3))</f>
        <v>0</v>
      </c>
      <c r="AM269" s="191">
        <f>VLOOKUP(BB140,AL252:AM266,2,0)</f>
        <v>8</v>
      </c>
      <c r="AN269" s="214">
        <v>6</v>
      </c>
      <c r="AO269" s="190" t="s">
        <v>103</v>
      </c>
      <c r="AP269" s="202">
        <v>6</v>
      </c>
      <c r="AQ269" s="202">
        <f>IF(AP272=AO$265,AO259,IF(AP272=AO$266,AO259,IF(AP272=AO$267,AO259,IF(AP272=AO$268,AR265,IF(AP272=AO$269,AR265,IF(AP272=AO$270,AR265,IF(AP272=AO$264,"")))))))</f>
      </c>
      <c r="AR269" s="202"/>
      <c r="AS269" s="191"/>
      <c r="AV269" s="190">
        <f>IF(AQ$268=12,AS$259,AV268)</f>
        <v>17540</v>
      </c>
      <c r="AW269" s="202">
        <f>IF(AQ$269=12,AS$260,AW268)</f>
        <v>17050</v>
      </c>
      <c r="AX269" s="202">
        <f>IF(AQ$270=12,AS$261,AX268)</f>
        <v>17050</v>
      </c>
      <c r="AY269" s="202">
        <f t="shared" si="25"/>
        <v>17540</v>
      </c>
      <c r="AZ269" s="204">
        <v>41974</v>
      </c>
      <c r="BA269" s="191">
        <f t="shared" si="26"/>
        <v>17540</v>
      </c>
      <c r="BB269" s="166">
        <v>12</v>
      </c>
      <c r="BF269" s="204">
        <v>41852</v>
      </c>
      <c r="BG269" s="166">
        <f t="shared" si="29"/>
        <v>17540</v>
      </c>
      <c r="BH269" s="166">
        <f>ROUND(BG269*BI$258,0)</f>
        <v>12612</v>
      </c>
      <c r="BI269" s="166">
        <f>ROUND(BG269*BI$259,0)</f>
        <v>13663</v>
      </c>
      <c r="BJ269" s="166">
        <f>BI269-BH269</f>
        <v>1051</v>
      </c>
      <c r="BK269" s="288">
        <f>IF(BH$280&lt;=8,BI$258,BK268)</f>
        <v>0.71904</v>
      </c>
      <c r="BL269" s="166">
        <f>IF(BH$280&lt;=8,BH269,BL268)</f>
        <v>12612</v>
      </c>
      <c r="BM269" s="166">
        <f>IF(BI$305&lt;=8,BD272,BM268)</f>
        <v>12260</v>
      </c>
      <c r="BN269" s="166">
        <f t="shared" si="31"/>
        <v>12612</v>
      </c>
      <c r="BO269" s="166">
        <f>IF(BH280&lt;8,ROUND(BG269*BH$259,0),ROUND(BG269*BH$258,0))</f>
        <v>12612</v>
      </c>
      <c r="BP269" s="214"/>
      <c r="BS269" s="687">
        <v>41791</v>
      </c>
      <c r="BT269" s="558">
        <f>BA265</f>
        <v>17540</v>
      </c>
      <c r="BU269" s="558">
        <f>ROUND(BT269*1.5/31,0)</f>
        <v>849</v>
      </c>
      <c r="BV269" s="558" t="s">
        <v>781</v>
      </c>
      <c r="BW269" s="558"/>
      <c r="BX269" s="558"/>
      <c r="BY269" s="558"/>
      <c r="BZ269" s="697">
        <v>1</v>
      </c>
      <c r="CA269" s="202">
        <f>IF(BZ269=1,90,120)</f>
        <v>90</v>
      </c>
      <c r="CB269" s="696"/>
    </row>
    <row r="270" spans="32:81" ht="14.25" hidden="1">
      <c r="AF270" s="206">
        <v>41699</v>
      </c>
      <c r="AG270" s="320">
        <f>IF(AH270=0,"",IF(AH270=AH270,AH270))</f>
      </c>
      <c r="AH270" s="190">
        <f>L31</f>
        <v>0</v>
      </c>
      <c r="AI270" s="322">
        <f>IF(AI$269=3,AZ$177,AZ176)</f>
        <v>12</v>
      </c>
      <c r="AJ270" s="204">
        <v>41699</v>
      </c>
      <c r="AK270" s="202">
        <f>L24</f>
        <v>1000</v>
      </c>
      <c r="AL270" s="202">
        <f>L26</f>
        <v>1000</v>
      </c>
      <c r="AM270" s="191">
        <f>BP191</f>
        <v>60</v>
      </c>
      <c r="AN270" s="214">
        <v>7</v>
      </c>
      <c r="AO270" s="196" t="s">
        <v>106</v>
      </c>
      <c r="AP270" s="202">
        <v>7</v>
      </c>
      <c r="AQ270" s="211">
        <f>IF(AP273=AO$265,AO260,IF(AP273=AO$266,AO260,IF(AP273=AO$267,AO260,IF(AP273=AO$268,AR266,IF(AP273=AO$269,AR266,IF(AP273=AO$270,AR266,IF(AP273=AO$264,"")))))))</f>
      </c>
      <c r="AR270" s="211"/>
      <c r="AS270" s="197"/>
      <c r="AV270" s="190">
        <f>IF(AQ$268=13,AS$259,AV269)</f>
        <v>17540</v>
      </c>
      <c r="AW270" s="202">
        <f>IF(AQ$269=13,AS$260,AW269)</f>
        <v>17050</v>
      </c>
      <c r="AX270" s="202">
        <f>IF(AQ$270=13,AS$261,AX269)</f>
        <v>17050</v>
      </c>
      <c r="AY270" s="202">
        <f t="shared" si="25"/>
        <v>17540</v>
      </c>
      <c r="AZ270" s="204">
        <v>42005</v>
      </c>
      <c r="BA270" s="191">
        <f t="shared" si="26"/>
        <v>17540</v>
      </c>
      <c r="BB270" s="166">
        <v>13</v>
      </c>
      <c r="BF270" s="204">
        <v>41883</v>
      </c>
      <c r="BG270" s="166">
        <f t="shared" si="29"/>
        <v>17540</v>
      </c>
      <c r="BH270" s="166">
        <f aca="true" t="shared" si="32" ref="BH270:BH275">ROUND(BG270*BI$258,0)</f>
        <v>12612</v>
      </c>
      <c r="BI270" s="166">
        <f aca="true" t="shared" si="33" ref="BI270:BI275">ROUND(BG270*BI$259,0)</f>
        <v>13663</v>
      </c>
      <c r="BJ270" s="166">
        <f t="shared" si="30"/>
        <v>1051</v>
      </c>
      <c r="BK270" s="288">
        <f>BI$258</f>
        <v>0.71904</v>
      </c>
      <c r="BL270" s="166">
        <f>IF(BH$280&lt;=9,BH270,BL269)</f>
        <v>12612</v>
      </c>
      <c r="BM270" s="166">
        <f>IF(BI$305&lt;=9,BI270,BM269)</f>
        <v>13663</v>
      </c>
      <c r="BN270" s="166">
        <f t="shared" si="31"/>
        <v>12612</v>
      </c>
      <c r="BO270" s="166">
        <f>IF(BH280&lt;9,ROUND(BG270*BH$259,0),ROUND(BG270*BH$258,0))</f>
        <v>12612</v>
      </c>
      <c r="BP270" s="206"/>
      <c r="BS270" s="688"/>
      <c r="BT270" s="202"/>
      <c r="BU270" s="202"/>
      <c r="BV270" s="689">
        <f>IF(BW271=2,BU269,"")</f>
      </c>
      <c r="BW270" s="202"/>
      <c r="BX270" s="202">
        <v>1</v>
      </c>
      <c r="BY270" s="202" t="s">
        <v>782</v>
      </c>
      <c r="BZ270" s="697">
        <v>1</v>
      </c>
      <c r="CA270" s="202">
        <f>IF(BZ270=1,90,120)</f>
        <v>90</v>
      </c>
      <c r="CB270" s="698">
        <v>1</v>
      </c>
      <c r="CC270" s="219">
        <v>1</v>
      </c>
    </row>
    <row r="271" spans="32:80" ht="14.25" hidden="1">
      <c r="AF271" s="206">
        <v>41730</v>
      </c>
      <c r="AG271" s="320">
        <f aca="true" t="shared" si="34" ref="AG271:AG281">IF(AH271=0,"",IF(AH271=AH271,AH271))</f>
      </c>
      <c r="AH271" s="190">
        <f>IF(AG$269=4,O$31,L31)</f>
        <v>0</v>
      </c>
      <c r="AI271" s="322">
        <f>IF(AI$269=4,AZ$177,AI270)</f>
        <v>12</v>
      </c>
      <c r="AJ271" s="204">
        <v>41730</v>
      </c>
      <c r="AK271" s="202">
        <f>IF(AK$269=4,O$24,L24)</f>
        <v>1000</v>
      </c>
      <c r="AL271" s="202">
        <f>IF(AL$269=4,O$26,L26)</f>
        <v>1000</v>
      </c>
      <c r="AM271" s="191">
        <f>IF(AM$269=4,BQ$191,AM270)</f>
        <v>60</v>
      </c>
      <c r="AN271" s="166">
        <v>1</v>
      </c>
      <c r="AO271" s="194">
        <v>2</v>
      </c>
      <c r="AP271" s="298" t="str">
        <f>VLOOKUP(AO271,AN264:AO270,2,0)</f>
        <v>Month of Annual Increment after Jan-14</v>
      </c>
      <c r="AS271" s="166">
        <f>IF(AND(AO271=2,AO251=AS$264),VLOOKUP(BA$270,BD$141:BE$212,2,FALSE),IF(AND(AO272=2,AO252=AS$264),VLOOKUP(BA$270,BD$141:BE$212,2,FALSE),IF(AND(AO273=2,AO253=AS$264),VLOOKUP(BA$270,BD$141:BE$212,2,FALSE),AY271)))</f>
        <v>17540</v>
      </c>
      <c r="AV271" s="196">
        <f>IF(AQ$268=14,AS$259,AV270)</f>
        <v>17540</v>
      </c>
      <c r="AW271" s="211">
        <f>IF(AQ$269=14,AS$260,AW270)</f>
        <v>17050</v>
      </c>
      <c r="AX271" s="211">
        <f>IF(AQ$270=14,AS$261,AX270)</f>
        <v>17050</v>
      </c>
      <c r="AY271" s="211">
        <f t="shared" si="25"/>
        <v>17540</v>
      </c>
      <c r="AZ271" s="213">
        <v>42036</v>
      </c>
      <c r="BA271" s="197">
        <f>AY271</f>
        <v>17540</v>
      </c>
      <c r="BB271" s="166">
        <v>14</v>
      </c>
      <c r="BF271" s="204">
        <v>41913</v>
      </c>
      <c r="BG271" s="166">
        <f t="shared" si="29"/>
        <v>17540</v>
      </c>
      <c r="BH271" s="166">
        <f t="shared" si="32"/>
        <v>12612</v>
      </c>
      <c r="BI271" s="166">
        <f t="shared" si="33"/>
        <v>13663</v>
      </c>
      <c r="BJ271" s="166">
        <f t="shared" si="30"/>
        <v>1051</v>
      </c>
      <c r="BK271" s="288">
        <f>BI$258</f>
        <v>0.71904</v>
      </c>
      <c r="BL271" s="166">
        <f>IF(BH$280&lt;=10,BH271,BL270)</f>
        <v>12612</v>
      </c>
      <c r="BM271" s="166">
        <f>IF(BI$305&lt;=10,BI271,BM270)</f>
        <v>13663</v>
      </c>
      <c r="BN271" s="166">
        <f t="shared" si="31"/>
        <v>12612</v>
      </c>
      <c r="BO271" s="166">
        <f>IF(BI$305&lt;10,ROUND(BG271*BI$259,0),ROUND(BG271*BI$258,0))</f>
        <v>13663</v>
      </c>
      <c r="BP271" s="206"/>
      <c r="BS271" s="559"/>
      <c r="BT271" s="202"/>
      <c r="BU271" s="202"/>
      <c r="BV271" s="202"/>
      <c r="BW271" s="240">
        <v>1</v>
      </c>
      <c r="BX271" s="690">
        <v>2</v>
      </c>
      <c r="BY271" s="202" t="s">
        <v>783</v>
      </c>
      <c r="BZ271" s="695"/>
      <c r="CA271" s="202"/>
      <c r="CB271" s="699" t="str">
        <f>VLOOKUP(CB270,BZ272:CA275,2,TRUE)</f>
        <v>No Change</v>
      </c>
    </row>
    <row r="272" spans="32:80" ht="14.25" hidden="1">
      <c r="AF272" s="206">
        <v>41760</v>
      </c>
      <c r="AG272" s="320">
        <f t="shared" si="34"/>
      </c>
      <c r="AH272" s="190">
        <f>IF(AG$269=5,O$31,AH271)</f>
        <v>0</v>
      </c>
      <c r="AI272" s="322">
        <f>IF(AI$269=5,AZ$177,AI271)</f>
        <v>12</v>
      </c>
      <c r="AJ272" s="204">
        <v>41760</v>
      </c>
      <c r="AK272" s="202">
        <f>IF(AK$269=5,O$24,AK271)</f>
        <v>1000</v>
      </c>
      <c r="AL272" s="202">
        <f>IF(AL$269=5,O$26,AL271)</f>
        <v>1000</v>
      </c>
      <c r="AM272" s="191">
        <f>IF(AM$269=5,BQ$191,AM271)</f>
        <v>60</v>
      </c>
      <c r="AN272" s="166">
        <v>2</v>
      </c>
      <c r="AO272" s="194">
        <v>1</v>
      </c>
      <c r="AP272" s="298" t="str">
        <f>VLOOKUP(AO272,AN264:AO270,2,0)</f>
        <v>No Change</v>
      </c>
      <c r="BF272" s="204">
        <v>41944</v>
      </c>
      <c r="BG272" s="166">
        <f t="shared" si="29"/>
        <v>17540</v>
      </c>
      <c r="BH272" s="166">
        <f t="shared" si="32"/>
        <v>12612</v>
      </c>
      <c r="BI272" s="166">
        <f t="shared" si="33"/>
        <v>13663</v>
      </c>
      <c r="BJ272" s="166">
        <f t="shared" si="30"/>
        <v>1051</v>
      </c>
      <c r="BK272" s="288">
        <f>IF(BI$305&lt;=11,BI$259,BK271)</f>
        <v>0.77896</v>
      </c>
      <c r="BL272" s="166">
        <f>IF(BH$280&lt;=11,BH272,BL271)</f>
        <v>12612</v>
      </c>
      <c r="BM272" s="166">
        <f>IF(BI$305&lt;=10,BI272,BM271)</f>
        <v>13663</v>
      </c>
      <c r="BN272" s="166">
        <f>MAX(BL272:BM272)</f>
        <v>13663</v>
      </c>
      <c r="BO272" s="166">
        <f>IF(BI$305&lt;11,ROUND(BG272*BI$259,0),ROUND(BG272*BI$258,0))</f>
        <v>13663</v>
      </c>
      <c r="BP272" s="206"/>
      <c r="BR272" s="232"/>
      <c r="BS272" s="559"/>
      <c r="BT272" s="202"/>
      <c r="BU272" s="202"/>
      <c r="BV272" s="202"/>
      <c r="BW272" s="202"/>
      <c r="BX272" s="202">
        <v>3</v>
      </c>
      <c r="BY272" s="202" t="s">
        <v>784</v>
      </c>
      <c r="BZ272" s="695">
        <v>1</v>
      </c>
      <c r="CA272" s="202" t="s">
        <v>8</v>
      </c>
      <c r="CB272" s="696">
        <f>IF(CC270=1,IF(BW271=1,CA269,""),"")</f>
        <v>90</v>
      </c>
    </row>
    <row r="273" spans="32:80" ht="14.25" hidden="1">
      <c r="AF273" s="206">
        <v>41791</v>
      </c>
      <c r="AG273" s="320">
        <f t="shared" si="34"/>
      </c>
      <c r="AH273" s="190">
        <f>IF(AG$269=6,O$31,AH272)</f>
        <v>0</v>
      </c>
      <c r="AI273" s="322">
        <f>IF(AI$269=6,AZ$177,AI272)</f>
        <v>12</v>
      </c>
      <c r="AJ273" s="204">
        <v>41791</v>
      </c>
      <c r="AK273" s="202">
        <f>IF(AK$269=6,O$24,AK272)</f>
        <v>1000</v>
      </c>
      <c r="AL273" s="202">
        <f>IF(AL$269=6,O$26,AL272)</f>
        <v>1000</v>
      </c>
      <c r="AM273" s="191">
        <f>IF(AM$269=6,BQ$191,AM272)</f>
        <v>60</v>
      </c>
      <c r="AN273" s="166">
        <v>3</v>
      </c>
      <c r="AO273" s="194">
        <v>1</v>
      </c>
      <c r="AP273" s="298" t="str">
        <f>VLOOKUP(AO273,AN264:AO270,2,0)</f>
        <v>No Change</v>
      </c>
      <c r="BF273" s="204">
        <v>41974</v>
      </c>
      <c r="BG273" s="166">
        <f t="shared" si="29"/>
        <v>17540</v>
      </c>
      <c r="BH273" s="166">
        <f t="shared" si="32"/>
        <v>12612</v>
      </c>
      <c r="BI273" s="166">
        <f t="shared" si="33"/>
        <v>13663</v>
      </c>
      <c r="BJ273" s="166">
        <f t="shared" si="30"/>
        <v>1051</v>
      </c>
      <c r="BK273" s="288">
        <f>IF(BI$305&lt;=12,BI$259,BK272)</f>
        <v>0.77896</v>
      </c>
      <c r="BL273" s="166">
        <f>IF(BH$280&lt;=12,BH273,BL272)</f>
        <v>12612</v>
      </c>
      <c r="BM273" s="166">
        <f>IF(BI$305&lt;=11,BI273,BM272)</f>
        <v>13663</v>
      </c>
      <c r="BN273" s="166">
        <f>MAX(BL273:BM273)</f>
        <v>13663</v>
      </c>
      <c r="BO273" s="166">
        <f>IF(BI$305&lt;12,ROUND(BG273*BI$259,0),ROUND(BG273*BI$258,0))</f>
        <v>13663</v>
      </c>
      <c r="BP273" s="206"/>
      <c r="BS273" s="559"/>
      <c r="BT273" s="202"/>
      <c r="BU273" s="202"/>
      <c r="BV273" s="202"/>
      <c r="BW273" s="202"/>
      <c r="BX273" s="689">
        <f>IF(BW271=1,BU274,"")</f>
        <v>550</v>
      </c>
      <c r="BY273" s="202"/>
      <c r="BZ273" s="695">
        <v>2</v>
      </c>
      <c r="CA273" s="700">
        <v>41974</v>
      </c>
      <c r="CB273" s="696">
        <f>IF(CB272="","",IF(CB$270=2,CA$270,CB272))</f>
        <v>90</v>
      </c>
    </row>
    <row r="274" spans="32:80" ht="14.25" hidden="1">
      <c r="AF274" s="206">
        <v>41821</v>
      </c>
      <c r="AG274" s="320">
        <f>IF(AH274=0,"",IF(AH274=AH274,AH274))</f>
      </c>
      <c r="AH274" s="190">
        <f>IF(AG$269=7,O$31,AH273)</f>
        <v>0</v>
      </c>
      <c r="AI274" s="322">
        <f>IF(AI$269=7,AZ$177,AI273)</f>
        <v>12</v>
      </c>
      <c r="AJ274" s="204">
        <v>41821</v>
      </c>
      <c r="AK274" s="202">
        <f>IF(AK$269=7,O$24,AK273)</f>
        <v>1000</v>
      </c>
      <c r="AL274" s="202">
        <f>IF(AL$269=7,O$26,AL273)</f>
        <v>1000</v>
      </c>
      <c r="AM274" s="191">
        <f>IF(AM$269=7,BQ$191,AM273)</f>
        <v>60</v>
      </c>
      <c r="AQ274" s="950" t="s">
        <v>299</v>
      </c>
      <c r="AR274" s="950"/>
      <c r="AS274" s="950"/>
      <c r="AT274" s="323">
        <v>1</v>
      </c>
      <c r="AU274" s="200" t="str">
        <f>VLOOKUP(AT274,BN196:BO198,2,0)</f>
        <v>Not Availed</v>
      </c>
      <c r="AV274" s="248">
        <v>13</v>
      </c>
      <c r="AW274" s="189"/>
      <c r="BF274" s="204">
        <v>42005</v>
      </c>
      <c r="BG274" s="166">
        <f t="shared" si="29"/>
        <v>17540</v>
      </c>
      <c r="BH274" s="166">
        <f t="shared" si="32"/>
        <v>12612</v>
      </c>
      <c r="BI274" s="166">
        <f t="shared" si="33"/>
        <v>13663</v>
      </c>
      <c r="BJ274" s="166">
        <f t="shared" si="30"/>
        <v>1051</v>
      </c>
      <c r="BK274" s="288">
        <f>IF(BI$305&lt;=13,BI$259,BK273)</f>
        <v>0.77896</v>
      </c>
      <c r="BL274" s="166">
        <f>IF(BH$280&lt;=13,BH274,BL273)</f>
        <v>12612</v>
      </c>
      <c r="BM274" s="166">
        <f>IF(BI$305&lt;=12,BI274,BM273)</f>
        <v>13663</v>
      </c>
      <c r="BN274" s="166">
        <f>MAX(BL274:BM274)</f>
        <v>13663</v>
      </c>
      <c r="BO274" s="166">
        <f>IF(BI$305&lt;13,ROUND(BG274*BI$259,0),ROUND(BG274*BI$258,0))</f>
        <v>13663</v>
      </c>
      <c r="BP274" s="206"/>
      <c r="BS274" s="688">
        <v>41821</v>
      </c>
      <c r="BT274" s="202">
        <f>BA263</f>
        <v>17050</v>
      </c>
      <c r="BU274" s="202">
        <f>ROUND(BT274*1/31,0)</f>
        <v>550</v>
      </c>
      <c r="BV274" s="202">
        <f>BT274-BU274</f>
        <v>16500</v>
      </c>
      <c r="BW274" s="202"/>
      <c r="BX274" s="689">
        <f>IF(BW271=1,BU275,"")</f>
        <v>1169</v>
      </c>
      <c r="BY274" s="202" t="s">
        <v>785</v>
      </c>
      <c r="BZ274" s="695">
        <v>3</v>
      </c>
      <c r="CA274" s="700">
        <v>42005</v>
      </c>
      <c r="CB274" s="696">
        <f>IF(CB273="","",IF(CB$270=3,CA$270,CB273))</f>
        <v>90</v>
      </c>
    </row>
    <row r="275" spans="32:80" ht="14.25" hidden="1">
      <c r="AF275" s="206">
        <v>41852</v>
      </c>
      <c r="AG275" s="320">
        <f t="shared" si="34"/>
      </c>
      <c r="AH275" s="190">
        <f>IF(AG$269=8,O$31,AH274)</f>
        <v>0</v>
      </c>
      <c r="AI275" s="322">
        <f>IF(AI$269=8,AZ$177,AI274)</f>
        <v>12</v>
      </c>
      <c r="AJ275" s="204">
        <v>41852</v>
      </c>
      <c r="AK275" s="202">
        <f>IF(AK$269=8,O$24,AK274)</f>
        <v>1000</v>
      </c>
      <c r="AL275" s="202">
        <f>IF(AL$269=8,O$26,AL274)</f>
        <v>1000</v>
      </c>
      <c r="AM275" s="191">
        <f>IF(AM$269=8,BQ$191,AM274)</f>
        <v>60</v>
      </c>
      <c r="AO275" s="202"/>
      <c r="AQ275" s="188" t="str">
        <f>AU274</f>
        <v>Not Availed</v>
      </c>
      <c r="AR275" s="200">
        <f>IF(AQ275="15 days",2,IF(AQ275="30 days",3,IF(AQ275="Not Availed","")))</f>
      </c>
      <c r="AS275" s="189"/>
      <c r="AT275" s="202"/>
      <c r="AU275" s="202"/>
      <c r="AV275" s="202"/>
      <c r="AW275" s="191"/>
      <c r="BF275" s="204">
        <v>42036</v>
      </c>
      <c r="BG275" s="166">
        <f t="shared" si="29"/>
        <v>17540</v>
      </c>
      <c r="BH275" s="166">
        <f t="shared" si="32"/>
        <v>12612</v>
      </c>
      <c r="BI275" s="166">
        <f t="shared" si="33"/>
        <v>13663</v>
      </c>
      <c r="BJ275" s="166">
        <f t="shared" si="30"/>
        <v>1051</v>
      </c>
      <c r="BK275" s="288">
        <f>IF(BI$305&lt;=14,BI$259,BK274)</f>
        <v>0.77896</v>
      </c>
      <c r="BL275" s="166">
        <f>IF(BH$280&lt;=14,BH275,BL274)</f>
        <v>12612</v>
      </c>
      <c r="BM275" s="166">
        <f>IF(BI$305&lt;=13,BI275,BM274)</f>
        <v>13663</v>
      </c>
      <c r="BN275" s="166">
        <f>MAX(BL275:BM275)</f>
        <v>13663</v>
      </c>
      <c r="BO275" s="166">
        <f>IF(BI$305&lt;14,ROUND(BG275*BI$259,0),ROUND(BG275*BI$258,0))</f>
        <v>13663</v>
      </c>
      <c r="BS275" s="688">
        <v>41944</v>
      </c>
      <c r="BT275" s="202">
        <f>BA270</f>
        <v>17540</v>
      </c>
      <c r="BU275" s="202">
        <f>ROUND(BT275*2/30,0)</f>
        <v>1169</v>
      </c>
      <c r="BV275" s="202"/>
      <c r="BW275" s="691">
        <f>IF(BW271=2,BU269,IF(BW271=1,BU274,""))</f>
        <v>550</v>
      </c>
      <c r="BX275" s="202"/>
      <c r="BY275" s="202"/>
      <c r="BZ275" s="701">
        <v>4</v>
      </c>
      <c r="CA275" s="702">
        <v>42036</v>
      </c>
      <c r="CB275" s="703">
        <f>IF(CB274="","",IF(CB$270=4,CA$270,CB274))</f>
        <v>90</v>
      </c>
    </row>
    <row r="276" spans="32:77" ht="14.25" hidden="1">
      <c r="AF276" s="206">
        <v>41883</v>
      </c>
      <c r="AG276" s="320">
        <f t="shared" si="34"/>
      </c>
      <c r="AH276" s="190">
        <f>IF(AG$269=9,O$31,AH275)</f>
        <v>0</v>
      </c>
      <c r="AI276" s="322">
        <f>IF(AI$269=9,AZ$177,AI275)</f>
        <v>12</v>
      </c>
      <c r="AJ276" s="204">
        <v>41883</v>
      </c>
      <c r="AK276" s="202">
        <f>IF(AK$269=9,O$24,AK275)</f>
        <v>1000</v>
      </c>
      <c r="AL276" s="202">
        <f>IF(AL$269=9,O$26,AL275)</f>
        <v>1000</v>
      </c>
      <c r="AM276" s="191">
        <f>IF(AM$269=9,BQ$191,AM275)</f>
        <v>60</v>
      </c>
      <c r="AO276" s="202"/>
      <c r="AP276" s="202"/>
      <c r="AQ276" s="235">
        <f>VLOOKUP(AV274,AK253:AL265,2,0)</f>
        <v>41974</v>
      </c>
      <c r="AR276" s="202"/>
      <c r="AS276" s="191"/>
      <c r="AT276" s="202" t="s">
        <v>33</v>
      </c>
      <c r="AU276" s="202" t="s">
        <v>34</v>
      </c>
      <c r="AV276" s="202"/>
      <c r="AW276" s="191"/>
      <c r="BF276" s="204">
        <v>42064</v>
      </c>
      <c r="BG276" s="166">
        <v>0</v>
      </c>
      <c r="BH276" s="166">
        <v>0</v>
      </c>
      <c r="BI276" s="166">
        <v>0</v>
      </c>
      <c r="BS276" s="559"/>
      <c r="BT276" s="202"/>
      <c r="BU276" s="202"/>
      <c r="BV276" s="202"/>
      <c r="BW276" s="202"/>
      <c r="BX276" s="202"/>
      <c r="BY276" s="560"/>
    </row>
    <row r="277" spans="32:77" ht="14.25" hidden="1">
      <c r="AF277" s="206">
        <v>41913</v>
      </c>
      <c r="AG277" s="320">
        <f t="shared" si="34"/>
      </c>
      <c r="AH277" s="190">
        <f>IF(AG$269=10,O$31,AH276)</f>
        <v>0</v>
      </c>
      <c r="AI277" s="322">
        <f>IF(AI$269=10,AZ$177,AI276)</f>
        <v>12</v>
      </c>
      <c r="AJ277" s="204">
        <v>41913</v>
      </c>
      <c r="AK277" s="202">
        <f>IF(AK$269=10,O$24,AK276)</f>
        <v>1000</v>
      </c>
      <c r="AL277" s="202">
        <f>IF(AL$269=10,O$26,AL276)</f>
        <v>1000</v>
      </c>
      <c r="AM277" s="191">
        <f>IF(AM$269=10,BQ$191,AM276)</f>
        <v>60</v>
      </c>
      <c r="AO277" s="202"/>
      <c r="AP277" s="202"/>
      <c r="AQ277" s="190">
        <f>VLOOKUP(AQ276,AZ259:BA271,2,0)</f>
        <v>17540</v>
      </c>
      <c r="AR277" s="202" t="s">
        <v>290</v>
      </c>
      <c r="AS277" s="191">
        <f>IF(AR275=2,AQ278,IF(AR275=3,AQ277,IF(AR275="","")))</f>
      </c>
      <c r="AT277" s="202">
        <f>VLOOKUP(AQ276,BO280:BQ291,3,0)</f>
        <v>13663</v>
      </c>
      <c r="AU277" s="202">
        <f>VLOOKUP(AQ276,BO280:BR291,4,0)</f>
        <v>2105</v>
      </c>
      <c r="AV277" s="202">
        <f>IF(AS277="","",AS277+AT279+AU279+AW282)</f>
      </c>
      <c r="AW277" s="191"/>
      <c r="BP277" s="324" t="s">
        <v>283</v>
      </c>
      <c r="BQ277" s="181" t="s">
        <v>33</v>
      </c>
      <c r="BR277" s="181" t="s">
        <v>34</v>
      </c>
      <c r="BS277" s="561"/>
      <c r="BT277" s="562"/>
      <c r="BU277" s="562"/>
      <c r="BV277" s="562"/>
      <c r="BW277" s="562"/>
      <c r="BX277" s="562"/>
      <c r="BY277" s="563"/>
    </row>
    <row r="278" spans="32:79" ht="14.25" hidden="1">
      <c r="AF278" s="206">
        <v>41944</v>
      </c>
      <c r="AG278" s="320">
        <f t="shared" si="34"/>
      </c>
      <c r="AH278" s="190">
        <f>IF(AG$269=11,O$31,AH277)</f>
        <v>0</v>
      </c>
      <c r="AI278" s="322">
        <f>IF(AI$269=11,AZ$177,AI277)</f>
        <v>12</v>
      </c>
      <c r="AJ278" s="204">
        <v>41944</v>
      </c>
      <c r="AK278" s="202">
        <f>IF(AK$269=11,O$24,AK277)</f>
        <v>1000</v>
      </c>
      <c r="AL278" s="202">
        <f>IF(AL$269=11,O$26,AL277)</f>
        <v>1000</v>
      </c>
      <c r="AM278" s="191">
        <f>IF(AM$269=11,BQ$191,AM277)</f>
        <v>60</v>
      </c>
      <c r="AO278" s="202"/>
      <c r="AP278" s="202"/>
      <c r="AQ278" s="196">
        <f>ROUND(AQ277/2,0)</f>
        <v>8770</v>
      </c>
      <c r="AR278" s="211"/>
      <c r="AS278" s="197"/>
      <c r="AT278" s="202">
        <f>ROUND(AT277/2,0)</f>
        <v>6832</v>
      </c>
      <c r="AU278" s="202">
        <f>ROUND(AU277/2,0)</f>
        <v>1053</v>
      </c>
      <c r="AV278" s="202"/>
      <c r="AW278" s="191"/>
      <c r="BC278" s="188"/>
      <c r="BD278" s="200"/>
      <c r="BE278" s="200"/>
      <c r="BF278" s="200"/>
      <c r="BG278" s="200" t="s">
        <v>22</v>
      </c>
      <c r="BH278" s="200" t="s">
        <v>300</v>
      </c>
      <c r="BI278" s="189"/>
      <c r="BJ278" s="188"/>
      <c r="BK278" s="200"/>
      <c r="BL278" s="189"/>
      <c r="BO278" s="206">
        <f aca="true" t="shared" si="35" ref="BO278:BP280">AZ258</f>
        <v>41640</v>
      </c>
      <c r="BP278" s="166">
        <f t="shared" si="35"/>
        <v>17050</v>
      </c>
      <c r="BQ278" s="166">
        <f>BN262</f>
        <v>10800</v>
      </c>
      <c r="BR278" s="166">
        <f>IF(AN$287=1,AP$291,ROUND(BP278*AJ267%,0))</f>
        <v>2046</v>
      </c>
      <c r="BU278" s="166">
        <f>BV179</f>
      </c>
      <c r="CA278" s="166">
        <f>BR180</f>
        <v>2</v>
      </c>
    </row>
    <row r="279" spans="32:90" ht="14.25" hidden="1">
      <c r="AF279" s="206">
        <v>41974</v>
      </c>
      <c r="AG279" s="320">
        <f t="shared" si="34"/>
      </c>
      <c r="AH279" s="190">
        <f>IF(AG$269=12,O$31,AH278)</f>
        <v>0</v>
      </c>
      <c r="AI279" s="322">
        <f>IF(AI$269=12,AZ$177,AI278)</f>
        <v>12</v>
      </c>
      <c r="AJ279" s="204">
        <v>41974</v>
      </c>
      <c r="AK279" s="202">
        <f>IF(AK$269=12,O$24,AK278)</f>
        <v>1000</v>
      </c>
      <c r="AL279" s="202">
        <f>IF(AL$269=12,O$26,AL278)</f>
        <v>1000</v>
      </c>
      <c r="AM279" s="191">
        <f>IF(AM$269=12,BQ$191,AM278)</f>
        <v>60</v>
      </c>
      <c r="AQ279" s="190"/>
      <c r="AR279" s="202"/>
      <c r="AS279" s="202"/>
      <c r="AT279" s="202">
        <f>IF(AR275=2,AT278,IF(AR275=3,AT277,IF(AR275="","")))</f>
      </c>
      <c r="AU279" s="202">
        <f>IF(AR275=2,AU278,IF(AR275=3,AU277,IF(AR275="","")))</f>
      </c>
      <c r="AV279" s="202">
        <f>IF(AS277="","",IF(AT279="","",IF(AU279="","",(AS277+AT279+AU279+AW282))))</f>
      </c>
      <c r="AW279" s="191"/>
      <c r="BC279" s="190"/>
      <c r="BD279" s="325">
        <v>41640</v>
      </c>
      <c r="BE279" s="326" t="s">
        <v>33</v>
      </c>
      <c r="BF279" s="317"/>
      <c r="BG279" s="266">
        <v>4</v>
      </c>
      <c r="BH279" s="202">
        <f>BI311</f>
        <v>0</v>
      </c>
      <c r="BI279" s="191">
        <f>BG279+BH279</f>
        <v>4</v>
      </c>
      <c r="BJ279" s="190">
        <v>1</v>
      </c>
      <c r="BK279" s="204">
        <v>41640</v>
      </c>
      <c r="BL279" s="191">
        <v>2</v>
      </c>
      <c r="BM279" s="166">
        <v>1</v>
      </c>
      <c r="BO279" s="206">
        <f t="shared" si="35"/>
        <v>41671</v>
      </c>
      <c r="BP279" s="166">
        <f>BA259</f>
        <v>17050</v>
      </c>
      <c r="BQ279" s="166">
        <f>BN263</f>
        <v>10800</v>
      </c>
      <c r="BR279" s="166">
        <f>IF(AN$287=2,AP$291,ROUND(BP279*AI267%,0))</f>
        <v>2046</v>
      </c>
      <c r="BU279" s="166">
        <f>BU175</f>
      </c>
      <c r="BV279" s="166" t="s">
        <v>537</v>
      </c>
      <c r="BX279" s="166" t="s">
        <v>301</v>
      </c>
      <c r="BY279" s="166" t="s">
        <v>302</v>
      </c>
      <c r="BZ279" s="166" t="s">
        <v>22</v>
      </c>
      <c r="CA279" s="166" t="str">
        <f>BP181</f>
        <v>PF</v>
      </c>
      <c r="CB279" s="166" t="s">
        <v>298</v>
      </c>
      <c r="CC279" s="166" t="s">
        <v>303</v>
      </c>
      <c r="CD279" s="166" t="s">
        <v>149</v>
      </c>
      <c r="CE279" s="166" t="s">
        <v>304</v>
      </c>
      <c r="CF279" s="166" t="s">
        <v>305</v>
      </c>
      <c r="CG279" s="166" t="s">
        <v>297</v>
      </c>
      <c r="CH279" s="166" t="s">
        <v>306</v>
      </c>
      <c r="CI279" s="182" t="s">
        <v>307</v>
      </c>
      <c r="CJ279" s="166" t="s">
        <v>541</v>
      </c>
      <c r="CK279" s="166" t="s">
        <v>540</v>
      </c>
      <c r="CL279" s="166" t="s">
        <v>542</v>
      </c>
    </row>
    <row r="280" spans="32:90" ht="14.25" hidden="1">
      <c r="AF280" s="206">
        <v>42005</v>
      </c>
      <c r="AG280" s="320">
        <f t="shared" si="34"/>
      </c>
      <c r="AH280" s="190">
        <f>IF(AG$269=13,O$31,AH279)</f>
        <v>0</v>
      </c>
      <c r="AI280" s="322">
        <f>IF(AI$269=13,AZ$177,AI279)</f>
        <v>12</v>
      </c>
      <c r="AJ280" s="204">
        <v>42005</v>
      </c>
      <c r="AK280" s="202">
        <f>IF(AK$269=13,O$24,AK279)</f>
        <v>1000</v>
      </c>
      <c r="AL280" s="202">
        <f>IF(AL$269=13,O$26,AL279)</f>
        <v>1000</v>
      </c>
      <c r="AM280" s="191">
        <f>IF(AM$269=13,BQ$191,AM279)</f>
        <v>60</v>
      </c>
      <c r="AQ280" s="190"/>
      <c r="AR280" s="202"/>
      <c r="AS280" s="204">
        <f aca="true" t="shared" si="36" ref="AS280:AT282">BO278</f>
        <v>41640</v>
      </c>
      <c r="AT280" s="202">
        <f t="shared" si="36"/>
        <v>17050</v>
      </c>
      <c r="AU280" s="202">
        <f>BU278</f>
      </c>
      <c r="AV280" s="202"/>
      <c r="AW280" s="191"/>
      <c r="BA280" s="206"/>
      <c r="BC280" s="190"/>
      <c r="BD280" s="202"/>
      <c r="BE280" s="202"/>
      <c r="BF280" s="202"/>
      <c r="BG280" s="204">
        <f>VLOOKUP(BI279,BJ279:BK293,2,0)</f>
        <v>41730</v>
      </c>
      <c r="BH280" s="327">
        <f>VLOOKUP(BG280,BK279:BM292,3,0)</f>
        <v>4</v>
      </c>
      <c r="BI280" s="191"/>
      <c r="BJ280" s="190">
        <v>2</v>
      </c>
      <c r="BK280" s="204">
        <v>41671</v>
      </c>
      <c r="BL280" s="191">
        <v>3</v>
      </c>
      <c r="BM280" s="166">
        <v>2</v>
      </c>
      <c r="BO280" s="206">
        <f t="shared" si="35"/>
        <v>41699</v>
      </c>
      <c r="BP280" s="214">
        <f>BA260-AU134</f>
        <v>17050</v>
      </c>
      <c r="BQ280" s="166">
        <f>BO264-AV134</f>
        <v>10800</v>
      </c>
      <c r="BR280" s="166">
        <f>IF(AN$287=3,AP$291,ROUND(BP280*AI270%,0))</f>
        <v>2046</v>
      </c>
      <c r="BS280" s="166">
        <f>BQ$178</f>
      </c>
      <c r="BT280" s="166">
        <f>BQ$172</f>
      </c>
      <c r="BU280" s="166">
        <f>BU175</f>
      </c>
      <c r="BV280" s="166">
        <f>ROUND(BP280*CE$200%,0)</f>
        <v>4604</v>
      </c>
      <c r="BX280" s="166">
        <f>SUM(BP280:BW280)</f>
        <v>34500</v>
      </c>
      <c r="BY280" s="166">
        <f>IF(BR$180=1,2*(ROUND((BP280+BQ280)/10,0)),ROUND((BP280+BQ280)/10,0))</f>
        <v>2785</v>
      </c>
      <c r="BZ280" s="166">
        <f>AK270</f>
        <v>1000</v>
      </c>
      <c r="CA280" s="166">
        <f>IF(CA$279=BZ$279,BZ280,IF(CA$279=BY$279,BY280))</f>
        <v>1000</v>
      </c>
      <c r="CB280" s="166">
        <f>AL270</f>
        <v>1000</v>
      </c>
      <c r="CC280" s="166">
        <f>IF(BX280&gt;=20000,200,IF(BX280&gt;=15000,150,IF(BX280&gt;=10000,100,80)))</f>
        <v>200</v>
      </c>
      <c r="CD280" s="166">
        <f>AM270</f>
        <v>60</v>
      </c>
      <c r="CE280" s="166">
        <f>BU194</f>
        <v>20</v>
      </c>
      <c r="CG280" s="166">
        <f>AG270</f>
      </c>
      <c r="CH280" s="166">
        <f>SUM(CA280:CG280)</f>
        <v>2280</v>
      </c>
      <c r="CI280" s="166">
        <f aca="true" t="shared" si="37" ref="CI280:CI291">BX280-CH280</f>
        <v>32220</v>
      </c>
      <c r="CJ280" s="166">
        <f>ROUND(BP280*8%,0)</f>
        <v>1364</v>
      </c>
      <c r="CK280" s="166">
        <f>IF(CA$175=1,"",IF(CJ280&gt;1000,1000,CJ280))</f>
      </c>
      <c r="CL280" s="166">
        <f>IF(BX$178=1,"",BX$179)</f>
      </c>
    </row>
    <row r="281" spans="32:90" ht="14.25" hidden="1">
      <c r="AF281" s="206">
        <v>42036</v>
      </c>
      <c r="AG281" s="264">
        <f t="shared" si="34"/>
      </c>
      <c r="AH281" s="344">
        <f>IF(AG$269=14,O$31,AH280)</f>
        <v>0</v>
      </c>
      <c r="AI281" s="328">
        <f>IF(AI$269=14,AZ$177,AI280)</f>
        <v>12</v>
      </c>
      <c r="AJ281" s="685">
        <v>42036</v>
      </c>
      <c r="AK281" s="211">
        <f>IF(AK$269=14,O$24,AK280)</f>
        <v>1000</v>
      </c>
      <c r="AL281" s="211">
        <f>IF(AL$269=14,O$26,AL280)</f>
        <v>1000</v>
      </c>
      <c r="AM281" s="197">
        <f>IF(AM$269=14,BQ$191,AM280)</f>
        <v>60</v>
      </c>
      <c r="AQ281" s="190"/>
      <c r="AR281" s="202"/>
      <c r="AS281" s="204">
        <f t="shared" si="36"/>
        <v>41671</v>
      </c>
      <c r="AT281" s="317">
        <f t="shared" si="36"/>
        <v>17050</v>
      </c>
      <c r="AU281" s="202">
        <f>BU279</f>
      </c>
      <c r="AV281" s="202"/>
      <c r="AW281" s="191"/>
      <c r="BC281" s="190">
        <v>1</v>
      </c>
      <c r="BD281" s="202">
        <f>BJ262</f>
        <v>1460</v>
      </c>
      <c r="BE281" s="202" t="s">
        <v>308</v>
      </c>
      <c r="BF281" s="329">
        <f>VLOOKUP(BG280,AI252:AJ265,2,0)</f>
        <v>41760</v>
      </c>
      <c r="BG281" s="202">
        <f aca="true" t="shared" si="38" ref="BG281:BG286">IF(OR(BH281=0,BH281&lt;0),0,VLOOKUP(BH281,BC$281:BD$294,2,0))</f>
        <v>1460</v>
      </c>
      <c r="BH281" s="202">
        <f>BG279</f>
        <v>4</v>
      </c>
      <c r="BI281" s="191"/>
      <c r="BJ281" s="190">
        <v>3</v>
      </c>
      <c r="BK281" s="204">
        <v>41699</v>
      </c>
      <c r="BL281" s="191">
        <v>4</v>
      </c>
      <c r="BM281" s="166">
        <v>3</v>
      </c>
      <c r="BO281" s="206">
        <f aca="true" t="shared" si="39" ref="BO281:BO291">AZ261</f>
        <v>41730</v>
      </c>
      <c r="BP281" s="214">
        <f aca="true" t="shared" si="40" ref="BP281:BP291">BA261-AU135</f>
        <v>17050</v>
      </c>
      <c r="BQ281" s="166">
        <f aca="true" t="shared" si="41" ref="BQ281:BQ291">BO265-AV135</f>
        <v>10800</v>
      </c>
      <c r="BR281" s="166">
        <f>IF(AN$287=4,AP$291,ROUND(BP281*AI271%,0))</f>
        <v>2046</v>
      </c>
      <c r="BS281" s="166">
        <f aca="true" t="shared" si="42" ref="BS281:BS291">BQ$178</f>
      </c>
      <c r="BT281" s="166">
        <f aca="true" t="shared" si="43" ref="BT281:BT291">BQ$172</f>
      </c>
      <c r="BU281" s="166">
        <f>BV176</f>
      </c>
      <c r="BV281" s="166">
        <f aca="true" t="shared" si="44" ref="BV281:BV291">ROUND(BP281*CE$200%,0)</f>
        <v>4604</v>
      </c>
      <c r="BX281" s="166">
        <f aca="true" t="shared" si="45" ref="BX281:BX291">SUM(BP281:BW281)</f>
        <v>34500</v>
      </c>
      <c r="BY281" s="166">
        <f aca="true" t="shared" si="46" ref="BY281:BY291">IF(BR$180=1,2*(ROUND((BP281+BQ281)/10,0)),ROUND((BP281+BQ281)/10,0))</f>
        <v>2785</v>
      </c>
      <c r="BZ281" s="166">
        <f aca="true" t="shared" si="47" ref="BZ281:BZ291">AK271</f>
        <v>1000</v>
      </c>
      <c r="CA281" s="166">
        <f aca="true" t="shared" si="48" ref="CA281:CA291">IF(CA$279=BZ$279,BZ281,IF(CA$279=BY$279,BY281))</f>
        <v>1000</v>
      </c>
      <c r="CB281" s="166">
        <f aca="true" t="shared" si="49" ref="CB281:CB291">AL271</f>
        <v>1000</v>
      </c>
      <c r="CC281" s="166">
        <f aca="true" t="shared" si="50" ref="CC281:CC291">IF(BX281&gt;=20000,200,IF(BX281&gt;=15000,150,IF(BX281&gt;=10000,100,80)))</f>
        <v>200</v>
      </c>
      <c r="CD281" s="166">
        <f aca="true" t="shared" si="51" ref="CD281:CD291">AM271</f>
        <v>60</v>
      </c>
      <c r="CG281" s="166">
        <f aca="true" t="shared" si="52" ref="CG281:CG291">AG271</f>
      </c>
      <c r="CH281" s="166">
        <f aca="true" t="shared" si="53" ref="CH281:CH291">SUM(CA281:CG281)</f>
        <v>2260</v>
      </c>
      <c r="CI281" s="166">
        <f t="shared" si="37"/>
        <v>32240</v>
      </c>
      <c r="CJ281" s="166">
        <f aca="true" t="shared" si="54" ref="CJ281:CJ291">ROUND(BP281*8%,0)</f>
        <v>1364</v>
      </c>
      <c r="CK281" s="166">
        <f aca="true" t="shared" si="55" ref="CK281:CK291">IF(CA$175=1,"",IF(CJ281&gt;1000,1000,CJ281))</f>
      </c>
      <c r="CL281" s="166">
        <f aca="true" t="shared" si="56" ref="CL281:CL291">IF(BX$178=1,"",BX$179)</f>
      </c>
    </row>
    <row r="282" spans="43:90" ht="14.25" hidden="1">
      <c r="AQ282" s="235"/>
      <c r="AR282" s="202"/>
      <c r="AS282" s="204">
        <f t="shared" si="36"/>
        <v>41699</v>
      </c>
      <c r="AT282" s="317">
        <f t="shared" si="36"/>
        <v>17050</v>
      </c>
      <c r="AU282" s="202">
        <f>BU280</f>
      </c>
      <c r="AV282" s="202" t="b">
        <f>IF(BS175="with holidays",VLOOKUP(AQ276,AS281:AU293,3,0),IF(BS175="without holidays",VLOOKUP(AQ276,AS281:AU293,3,0),IF(BS175="Not Applicable","")))</f>
        <v>0</v>
      </c>
      <c r="AW282" s="191">
        <f>IF(AR275=2,ROUND(AV282/2,0),IF(AR275=3,ROUND(AV282,0),IF(AQ275="Not Availed","")))</f>
      </c>
      <c r="BC282" s="190">
        <v>2</v>
      </c>
      <c r="BD282" s="202">
        <f aca="true" t="shared" si="57" ref="BD282:BD294">BJ263</f>
        <v>1460</v>
      </c>
      <c r="BE282" s="202"/>
      <c r="BF282" s="202"/>
      <c r="BG282" s="202">
        <f t="shared" si="38"/>
        <v>1460</v>
      </c>
      <c r="BH282" s="202">
        <f>BH$281-1</f>
        <v>3</v>
      </c>
      <c r="BI282" s="191"/>
      <c r="BJ282" s="190">
        <v>4</v>
      </c>
      <c r="BK282" s="204">
        <v>41730</v>
      </c>
      <c r="BL282" s="191">
        <v>5</v>
      </c>
      <c r="BM282" s="166">
        <v>4</v>
      </c>
      <c r="BO282" s="206">
        <f t="shared" si="39"/>
        <v>41760</v>
      </c>
      <c r="BP282" s="214">
        <f t="shared" si="40"/>
        <v>17050</v>
      </c>
      <c r="BQ282" s="166">
        <f t="shared" si="41"/>
        <v>12260</v>
      </c>
      <c r="BR282" s="166">
        <f>IF(AN$287=5,AP$291,ROUND(BP282*AI272%,0))</f>
        <v>2046</v>
      </c>
      <c r="BS282" s="166">
        <f t="shared" si="42"/>
      </c>
      <c r="BT282" s="166">
        <f t="shared" si="43"/>
      </c>
      <c r="BU282" s="166">
        <f>IF(BU172=3,900,"")</f>
      </c>
      <c r="BV282" s="166">
        <f t="shared" si="44"/>
        <v>4604</v>
      </c>
      <c r="BX282" s="166">
        <f t="shared" si="45"/>
        <v>35960</v>
      </c>
      <c r="BY282" s="166">
        <f t="shared" si="46"/>
        <v>2931</v>
      </c>
      <c r="BZ282" s="166">
        <f t="shared" si="47"/>
        <v>1000</v>
      </c>
      <c r="CA282" s="166">
        <f t="shared" si="48"/>
        <v>1000</v>
      </c>
      <c r="CB282" s="166">
        <f t="shared" si="49"/>
        <v>1000</v>
      </c>
      <c r="CC282" s="166">
        <f t="shared" si="50"/>
        <v>200</v>
      </c>
      <c r="CD282" s="166">
        <f t="shared" si="51"/>
        <v>60</v>
      </c>
      <c r="CG282" s="166">
        <f t="shared" si="52"/>
      </c>
      <c r="CH282" s="166">
        <f t="shared" si="53"/>
        <v>2260</v>
      </c>
      <c r="CI282" s="166">
        <f t="shared" si="37"/>
        <v>33700</v>
      </c>
      <c r="CJ282" s="166">
        <f t="shared" si="54"/>
        <v>1364</v>
      </c>
      <c r="CK282" s="166">
        <f t="shared" si="55"/>
      </c>
      <c r="CL282" s="166">
        <f t="shared" si="56"/>
      </c>
    </row>
    <row r="283" spans="42:90" ht="14.25" hidden="1">
      <c r="AP283" s="193"/>
      <c r="AQ283" s="190"/>
      <c r="AR283" s="202"/>
      <c r="AS283" s="204">
        <f aca="true" t="shared" si="58" ref="AS283:AS293">BO281</f>
        <v>41730</v>
      </c>
      <c r="AT283" s="317">
        <f aca="true" t="shared" si="59" ref="AT283:AT293">BP281</f>
        <v>17050</v>
      </c>
      <c r="AU283" s="202">
        <f aca="true" t="shared" si="60" ref="AU283:AU293">BU281</f>
      </c>
      <c r="AV283" s="202"/>
      <c r="AW283" s="191"/>
      <c r="BC283" s="190">
        <v>3</v>
      </c>
      <c r="BD283" s="202">
        <f t="shared" si="57"/>
        <v>1460</v>
      </c>
      <c r="BE283" s="202"/>
      <c r="BF283" s="202"/>
      <c r="BG283" s="202">
        <f t="shared" si="38"/>
        <v>1460</v>
      </c>
      <c r="BH283" s="202">
        <f>BH$281-2</f>
        <v>2</v>
      </c>
      <c r="BI283" s="191"/>
      <c r="BJ283" s="190">
        <v>5</v>
      </c>
      <c r="BK283" s="204">
        <v>41760</v>
      </c>
      <c r="BL283" s="191">
        <v>6</v>
      </c>
      <c r="BM283" s="166">
        <v>5</v>
      </c>
      <c r="BO283" s="206">
        <f t="shared" si="39"/>
        <v>41791</v>
      </c>
      <c r="BP283" s="214">
        <f t="shared" si="40"/>
        <v>17050</v>
      </c>
      <c r="BQ283" s="166">
        <f t="shared" si="41"/>
        <v>12260</v>
      </c>
      <c r="BR283" s="166">
        <f>IF(AN$287=6,AP$291,ROUND(BP283*AI273%,0))</f>
        <v>2046</v>
      </c>
      <c r="BS283" s="166">
        <f t="shared" si="42"/>
      </c>
      <c r="BT283" s="166">
        <f t="shared" si="43"/>
      </c>
      <c r="BU283" s="166">
        <f>BV177</f>
      </c>
      <c r="BV283" s="166">
        <f t="shared" si="44"/>
        <v>4604</v>
      </c>
      <c r="BX283" s="166">
        <f t="shared" si="45"/>
        <v>35960</v>
      </c>
      <c r="BY283" s="166">
        <f t="shared" si="46"/>
        <v>2931</v>
      </c>
      <c r="BZ283" s="166">
        <f t="shared" si="47"/>
        <v>1000</v>
      </c>
      <c r="CA283" s="166">
        <f t="shared" si="48"/>
        <v>1000</v>
      </c>
      <c r="CB283" s="166">
        <f t="shared" si="49"/>
        <v>1000</v>
      </c>
      <c r="CC283" s="166">
        <f t="shared" si="50"/>
        <v>200</v>
      </c>
      <c r="CD283" s="166">
        <f t="shared" si="51"/>
        <v>60</v>
      </c>
      <c r="CG283" s="166">
        <f t="shared" si="52"/>
      </c>
      <c r="CH283" s="166">
        <f t="shared" si="53"/>
        <v>2260</v>
      </c>
      <c r="CI283" s="166">
        <f t="shared" si="37"/>
        <v>33700</v>
      </c>
      <c r="CJ283" s="166">
        <f t="shared" si="54"/>
        <v>1364</v>
      </c>
      <c r="CK283" s="166">
        <f t="shared" si="55"/>
      </c>
      <c r="CL283" s="166">
        <f t="shared" si="56"/>
      </c>
    </row>
    <row r="284" spans="37:90" ht="14.25" hidden="1">
      <c r="AK284" s="206" t="str">
        <f>AX141</f>
        <v>No Change</v>
      </c>
      <c r="AL284" s="456" t="e">
        <f>VLOOKUP(AK284,AQ$153:AR$166,2,TRUE)</f>
        <v>#N/A</v>
      </c>
      <c r="AQ284" s="190"/>
      <c r="AR284" s="202"/>
      <c r="AS284" s="204">
        <f t="shared" si="58"/>
        <v>41760</v>
      </c>
      <c r="AT284" s="317">
        <f t="shared" si="59"/>
        <v>17050</v>
      </c>
      <c r="AU284" s="202">
        <f t="shared" si="60"/>
      </c>
      <c r="AV284" s="202"/>
      <c r="AW284" s="191"/>
      <c r="BC284" s="190">
        <v>4</v>
      </c>
      <c r="BD284" s="202">
        <f t="shared" si="57"/>
        <v>1460</v>
      </c>
      <c r="BE284" s="202"/>
      <c r="BF284" s="330">
        <f>VLOOKUP(BG279,BJ279:BK284,2,0)</f>
        <v>41730</v>
      </c>
      <c r="BG284" s="202">
        <f t="shared" si="38"/>
        <v>1460</v>
      </c>
      <c r="BH284" s="202">
        <f>BH$281-3</f>
        <v>1</v>
      </c>
      <c r="BI284" s="191"/>
      <c r="BJ284" s="190">
        <v>6</v>
      </c>
      <c r="BK284" s="204">
        <v>41791</v>
      </c>
      <c r="BL284" s="191">
        <v>7</v>
      </c>
      <c r="BM284" s="166">
        <v>6</v>
      </c>
      <c r="BO284" s="206">
        <f t="shared" si="39"/>
        <v>41821</v>
      </c>
      <c r="BP284" s="214">
        <f t="shared" si="40"/>
        <v>17050</v>
      </c>
      <c r="BQ284" s="166">
        <f t="shared" si="41"/>
        <v>12260</v>
      </c>
      <c r="BR284" s="166">
        <f>IF(AN$287=7,AP$291,ROUND(BP284*AI274%,0))</f>
        <v>2046</v>
      </c>
      <c r="BS284" s="166">
        <f>BQ$178</f>
      </c>
      <c r="BT284" s="166">
        <f t="shared" si="43"/>
      </c>
      <c r="BU284" s="166">
        <f>BU$280</f>
      </c>
      <c r="BV284" s="166">
        <f t="shared" si="44"/>
        <v>4604</v>
      </c>
      <c r="BX284" s="166">
        <f t="shared" si="45"/>
        <v>35960</v>
      </c>
      <c r="BY284" s="166">
        <f t="shared" si="46"/>
        <v>2931</v>
      </c>
      <c r="BZ284" s="166">
        <f t="shared" si="47"/>
        <v>1000</v>
      </c>
      <c r="CA284" s="166">
        <f t="shared" si="48"/>
        <v>1000</v>
      </c>
      <c r="CB284" s="166">
        <f t="shared" si="49"/>
        <v>1000</v>
      </c>
      <c r="CC284" s="166">
        <f t="shared" si="50"/>
        <v>200</v>
      </c>
      <c r="CD284" s="166">
        <f t="shared" si="51"/>
        <v>60</v>
      </c>
      <c r="CE284" s="166">
        <f>BT272</f>
        <v>0</v>
      </c>
      <c r="CG284" s="166">
        <f t="shared" si="52"/>
      </c>
      <c r="CH284" s="166">
        <f t="shared" si="53"/>
        <v>2260</v>
      </c>
      <c r="CI284" s="166">
        <f t="shared" si="37"/>
        <v>33700</v>
      </c>
      <c r="CJ284" s="166">
        <f t="shared" si="54"/>
        <v>1364</v>
      </c>
      <c r="CK284" s="166">
        <f t="shared" si="55"/>
      </c>
      <c r="CL284" s="166">
        <f t="shared" si="56"/>
      </c>
    </row>
    <row r="285" spans="40:90" ht="14.25" hidden="1">
      <c r="AN285" s="193" t="e">
        <f>AL284</f>
        <v>#N/A</v>
      </c>
      <c r="AO285" s="193"/>
      <c r="AP285" s="193"/>
      <c r="AQ285" s="190"/>
      <c r="AR285" s="202"/>
      <c r="AS285" s="204">
        <f t="shared" si="58"/>
        <v>41791</v>
      </c>
      <c r="AT285" s="317">
        <f t="shared" si="59"/>
        <v>17050</v>
      </c>
      <c r="AU285" s="202">
        <f t="shared" si="60"/>
      </c>
      <c r="AV285" s="202"/>
      <c r="AW285" s="191"/>
      <c r="BC285" s="190">
        <v>5</v>
      </c>
      <c r="BD285" s="202">
        <f t="shared" si="57"/>
        <v>1460</v>
      </c>
      <c r="BE285" s="202"/>
      <c r="BF285" s="202"/>
      <c r="BG285" s="202">
        <f t="shared" si="38"/>
        <v>0</v>
      </c>
      <c r="BH285" s="202">
        <f>BH$281-4</f>
        <v>0</v>
      </c>
      <c r="BI285" s="191"/>
      <c r="BJ285" s="190">
        <v>7</v>
      </c>
      <c r="BK285" s="204">
        <v>41821</v>
      </c>
      <c r="BL285" s="191">
        <v>8</v>
      </c>
      <c r="BM285" s="166">
        <v>7</v>
      </c>
      <c r="BO285" s="206">
        <f t="shared" si="39"/>
        <v>41852</v>
      </c>
      <c r="BP285" s="214">
        <f>BA265-AU139</f>
        <v>17540</v>
      </c>
      <c r="BQ285" s="166">
        <f>BO269-AV139</f>
        <v>12612</v>
      </c>
      <c r="BR285" s="166">
        <f>IF(AN$287=8,AP$291,ROUND(BP285*AI275%,0))</f>
        <v>2105</v>
      </c>
      <c r="BS285" s="166">
        <f t="shared" si="42"/>
      </c>
      <c r="BT285" s="166">
        <f t="shared" si="43"/>
      </c>
      <c r="BU285" s="166">
        <f>BU$280</f>
      </c>
      <c r="BV285" s="166">
        <f t="shared" si="44"/>
        <v>4736</v>
      </c>
      <c r="BX285" s="166">
        <f t="shared" si="45"/>
        <v>36993</v>
      </c>
      <c r="BY285" s="166">
        <f t="shared" si="46"/>
        <v>3015</v>
      </c>
      <c r="BZ285" s="166">
        <f t="shared" si="47"/>
        <v>1000</v>
      </c>
      <c r="CA285" s="166">
        <f t="shared" si="48"/>
        <v>1000</v>
      </c>
      <c r="CB285" s="166">
        <f t="shared" si="49"/>
        <v>1000</v>
      </c>
      <c r="CC285" s="166">
        <f t="shared" si="50"/>
        <v>200</v>
      </c>
      <c r="CD285" s="166">
        <f t="shared" si="51"/>
        <v>60</v>
      </c>
      <c r="CG285" s="166">
        <f t="shared" si="52"/>
      </c>
      <c r="CH285" s="166">
        <f t="shared" si="53"/>
        <v>2260</v>
      </c>
      <c r="CI285" s="166">
        <f t="shared" si="37"/>
        <v>34733</v>
      </c>
      <c r="CJ285" s="166">
        <f t="shared" si="54"/>
        <v>1403</v>
      </c>
      <c r="CK285" s="166">
        <f t="shared" si="55"/>
      </c>
      <c r="CL285" s="166">
        <f t="shared" si="56"/>
      </c>
    </row>
    <row r="286" spans="37:90" ht="14.25" hidden="1">
      <c r="AK286" s="166">
        <v>1</v>
      </c>
      <c r="AM286" s="194">
        <v>17</v>
      </c>
      <c r="AQ286" s="190"/>
      <c r="AR286" s="202"/>
      <c r="AS286" s="204">
        <f t="shared" si="58"/>
        <v>41821</v>
      </c>
      <c r="AT286" s="317">
        <f t="shared" si="59"/>
        <v>17050</v>
      </c>
      <c r="AU286" s="202">
        <f t="shared" si="60"/>
      </c>
      <c r="AV286" s="202"/>
      <c r="AW286" s="191" t="s">
        <v>309</v>
      </c>
      <c r="BC286" s="190">
        <v>6</v>
      </c>
      <c r="BD286" s="202">
        <f t="shared" si="57"/>
        <v>1460</v>
      </c>
      <c r="BE286" s="202"/>
      <c r="BF286" s="202"/>
      <c r="BG286" s="202">
        <f t="shared" si="38"/>
        <v>0</v>
      </c>
      <c r="BH286" s="202">
        <f>BH$281-5</f>
        <v>-1</v>
      </c>
      <c r="BI286" s="191"/>
      <c r="BJ286" s="190">
        <v>8</v>
      </c>
      <c r="BK286" s="204">
        <v>41852</v>
      </c>
      <c r="BL286" s="191">
        <v>9</v>
      </c>
      <c r="BM286" s="166">
        <v>8</v>
      </c>
      <c r="BO286" s="206">
        <f t="shared" si="39"/>
        <v>41883</v>
      </c>
      <c r="BP286" s="214">
        <f>BA266-AU140</f>
        <v>17540</v>
      </c>
      <c r="BQ286" s="166">
        <f>BO270-AV140</f>
        <v>12612</v>
      </c>
      <c r="BR286" s="166">
        <f>IF(AN$287=9,AP$291,ROUND(BP286*AI276%,0))</f>
        <v>2105</v>
      </c>
      <c r="BS286" s="166">
        <f t="shared" si="42"/>
      </c>
      <c r="BT286" s="166">
        <f t="shared" si="43"/>
      </c>
      <c r="BU286" s="166">
        <f>BU$280</f>
      </c>
      <c r="BV286" s="166">
        <f t="shared" si="44"/>
        <v>4736</v>
      </c>
      <c r="BX286" s="166">
        <f t="shared" si="45"/>
        <v>36993</v>
      </c>
      <c r="BY286" s="166">
        <f t="shared" si="46"/>
        <v>3015</v>
      </c>
      <c r="BZ286" s="166">
        <f t="shared" si="47"/>
        <v>1000</v>
      </c>
      <c r="CA286" s="166">
        <f t="shared" si="48"/>
        <v>1000</v>
      </c>
      <c r="CB286" s="166">
        <f t="shared" si="49"/>
        <v>1000</v>
      </c>
      <c r="CC286" s="166">
        <f t="shared" si="50"/>
        <v>200</v>
      </c>
      <c r="CD286" s="166">
        <f t="shared" si="51"/>
        <v>60</v>
      </c>
      <c r="CF286" s="166">
        <f aca="true" t="shared" si="61" ref="CF286:CF291">S23</f>
        <v>0</v>
      </c>
      <c r="CG286" s="166">
        <f t="shared" si="52"/>
      </c>
      <c r="CH286" s="166">
        <f t="shared" si="53"/>
        <v>2260</v>
      </c>
      <c r="CI286" s="166">
        <f t="shared" si="37"/>
        <v>34733</v>
      </c>
      <c r="CJ286" s="166">
        <f t="shared" si="54"/>
        <v>1403</v>
      </c>
      <c r="CK286" s="166">
        <f t="shared" si="55"/>
      </c>
      <c r="CL286" s="166">
        <f t="shared" si="56"/>
      </c>
    </row>
    <row r="287" spans="39:90" ht="14.25" hidden="1">
      <c r="AM287" s="206" t="str">
        <f>AX141</f>
        <v>No Change</v>
      </c>
      <c r="AN287" s="166">
        <f>IF(AK284=AL251,"",VLOOKUP(AM287,AL252:AM265,2,0))</f>
      </c>
      <c r="AO287" s="166">
        <f>IF(AK284=AL251,"",YEAR(AM287))</f>
      </c>
      <c r="AQ287" s="190"/>
      <c r="AR287" s="202"/>
      <c r="AS287" s="204">
        <f t="shared" si="58"/>
        <v>41852</v>
      </c>
      <c r="AT287" s="317">
        <f t="shared" si="59"/>
        <v>17540</v>
      </c>
      <c r="AU287" s="202">
        <f t="shared" si="60"/>
      </c>
      <c r="AV287" s="203">
        <v>2</v>
      </c>
      <c r="AW287" s="191"/>
      <c r="BC287" s="190">
        <v>7</v>
      </c>
      <c r="BD287" s="202">
        <f t="shared" si="57"/>
        <v>1021</v>
      </c>
      <c r="BE287" s="202"/>
      <c r="BF287" s="202"/>
      <c r="BG287" s="202"/>
      <c r="BH287" s="202">
        <f>IF(OR(BI287=BG$279,BI287&lt;=BG$279),0,VLOOKUP(BI287,BC$281:BD$294,2,0))</f>
        <v>0</v>
      </c>
      <c r="BI287" s="191">
        <f>BI279</f>
        <v>4</v>
      </c>
      <c r="BJ287" s="190">
        <v>9</v>
      </c>
      <c r="BK287" s="204">
        <v>41883</v>
      </c>
      <c r="BL287" s="191">
        <v>10</v>
      </c>
      <c r="BM287" s="166">
        <v>9</v>
      </c>
      <c r="BO287" s="206">
        <f t="shared" si="39"/>
        <v>41913</v>
      </c>
      <c r="BP287" s="214">
        <f>BA267-AU141</f>
        <v>17540</v>
      </c>
      <c r="BQ287" s="166">
        <f>BO271-AV141</f>
        <v>13663</v>
      </c>
      <c r="BR287" s="166">
        <f>IF(AN$287=10,AP$291,ROUND(BP287*AI277%,0))</f>
        <v>2105</v>
      </c>
      <c r="BS287" s="166">
        <f t="shared" si="42"/>
      </c>
      <c r="BT287" s="166">
        <f t="shared" si="43"/>
      </c>
      <c r="BU287" s="166">
        <f>BV178</f>
      </c>
      <c r="BV287" s="166">
        <f t="shared" si="44"/>
        <v>4736</v>
      </c>
      <c r="BX287" s="166">
        <f t="shared" si="45"/>
        <v>38044</v>
      </c>
      <c r="BY287" s="166">
        <f t="shared" si="46"/>
        <v>3120</v>
      </c>
      <c r="BZ287" s="166">
        <f t="shared" si="47"/>
        <v>1000</v>
      </c>
      <c r="CA287" s="166">
        <f t="shared" si="48"/>
        <v>1000</v>
      </c>
      <c r="CB287" s="166">
        <f t="shared" si="49"/>
        <v>1000</v>
      </c>
      <c r="CC287" s="166">
        <f t="shared" si="50"/>
        <v>200</v>
      </c>
      <c r="CD287" s="166">
        <f t="shared" si="51"/>
        <v>60</v>
      </c>
      <c r="CF287" s="166">
        <f t="shared" si="61"/>
        <v>0</v>
      </c>
      <c r="CG287" s="166">
        <f t="shared" si="52"/>
      </c>
      <c r="CH287" s="166">
        <f t="shared" si="53"/>
        <v>2260</v>
      </c>
      <c r="CI287" s="166">
        <f t="shared" si="37"/>
        <v>35784</v>
      </c>
      <c r="CJ287" s="166">
        <f t="shared" si="54"/>
        <v>1403</v>
      </c>
      <c r="CK287" s="166">
        <f t="shared" si="55"/>
      </c>
      <c r="CL287" s="166">
        <f t="shared" si="56"/>
      </c>
    </row>
    <row r="288" spans="39:90" ht="14.25" hidden="1">
      <c r="AM288" s="206"/>
      <c r="AP288" s="166" t="e">
        <f>IF(AP289="","",(AO289-AM286)+1)</f>
        <v>#N/A</v>
      </c>
      <c r="AQ288" s="190"/>
      <c r="AR288" s="202"/>
      <c r="AS288" s="204">
        <f t="shared" si="58"/>
        <v>41883</v>
      </c>
      <c r="AT288" s="317">
        <f t="shared" si="59"/>
        <v>17540</v>
      </c>
      <c r="AU288" s="202">
        <f t="shared" si="60"/>
      </c>
      <c r="AV288" s="202">
        <f>IF(AS277="","",IF(AV287=1,ROUND(AS277*BJ259,0),""))</f>
      </c>
      <c r="AW288" s="191">
        <f>IF(AV287=2,"",AW286)</f>
      </c>
      <c r="BC288" s="190">
        <v>8</v>
      </c>
      <c r="BD288" s="202">
        <f t="shared" si="57"/>
        <v>1051</v>
      </c>
      <c r="BE288" s="202"/>
      <c r="BF288" s="202"/>
      <c r="BG288" s="202"/>
      <c r="BH288" s="202">
        <f>IF(OR(BI288=BG$279,BI288&lt;=BG$279),0,VLOOKUP(BI288,BC$281:BD$294,2,0))</f>
        <v>0</v>
      </c>
      <c r="BI288" s="191">
        <f>BI$287-1</f>
        <v>3</v>
      </c>
      <c r="BJ288" s="190">
        <v>10</v>
      </c>
      <c r="BK288" s="204">
        <v>41913</v>
      </c>
      <c r="BL288" s="191">
        <v>11</v>
      </c>
      <c r="BM288" s="166">
        <v>10</v>
      </c>
      <c r="BO288" s="206">
        <f t="shared" si="39"/>
        <v>41944</v>
      </c>
      <c r="BP288" s="214">
        <f t="shared" si="40"/>
        <v>17540</v>
      </c>
      <c r="BQ288" s="166">
        <f t="shared" si="41"/>
        <v>13663</v>
      </c>
      <c r="BR288" s="166">
        <f>IF(AN$287=11,AP$291,ROUND(BP288*AI278%,0))</f>
        <v>2105</v>
      </c>
      <c r="BS288" s="166">
        <f t="shared" si="42"/>
      </c>
      <c r="BT288" s="166">
        <f t="shared" si="43"/>
      </c>
      <c r="BU288" s="166">
        <f>BU280</f>
      </c>
      <c r="BV288" s="166">
        <f t="shared" si="44"/>
        <v>4736</v>
      </c>
      <c r="BX288" s="166">
        <f t="shared" si="45"/>
        <v>38044</v>
      </c>
      <c r="BY288" s="166">
        <f t="shared" si="46"/>
        <v>3120</v>
      </c>
      <c r="BZ288" s="166">
        <f t="shared" si="47"/>
        <v>1000</v>
      </c>
      <c r="CA288" s="166">
        <f t="shared" si="48"/>
        <v>1000</v>
      </c>
      <c r="CB288" s="166">
        <f t="shared" si="49"/>
        <v>1000</v>
      </c>
      <c r="CC288" s="166">
        <f t="shared" si="50"/>
        <v>200</v>
      </c>
      <c r="CD288" s="166">
        <f t="shared" si="51"/>
        <v>60</v>
      </c>
      <c r="CF288" s="166">
        <f t="shared" si="61"/>
        <v>0</v>
      </c>
      <c r="CG288" s="166">
        <f t="shared" si="52"/>
      </c>
      <c r="CH288" s="166">
        <f t="shared" si="53"/>
        <v>2260</v>
      </c>
      <c r="CI288" s="166">
        <f t="shared" si="37"/>
        <v>35784</v>
      </c>
      <c r="CJ288" s="166">
        <f t="shared" si="54"/>
        <v>1403</v>
      </c>
      <c r="CK288" s="166">
        <f t="shared" si="55"/>
      </c>
      <c r="CL288" s="166">
        <f t="shared" si="56"/>
      </c>
    </row>
    <row r="289" spans="37:90" ht="14.25" hidden="1">
      <c r="AK289" s="206">
        <f>IF(AK284=AL251,"",AK284)</f>
      </c>
      <c r="AL289" s="166">
        <f>IF(AN287="","",VLOOKUP(AK289,BO$280:BR$291,4,0))</f>
      </c>
      <c r="AM289" s="449">
        <f>IF(AN287="","",DATE(AO287,AN287,AM286))</f>
      </c>
      <c r="AN289" s="331" t="e">
        <f>AN285</f>
        <v>#N/A</v>
      </c>
      <c r="AO289" s="166" t="e">
        <f>IF(AN289="","",DAY(AN289))</f>
        <v>#N/A</v>
      </c>
      <c r="AP289" s="166" t="e">
        <f>IF(AN289="","",DAY(AN289))</f>
        <v>#N/A</v>
      </c>
      <c r="AQ289" s="190"/>
      <c r="AR289" s="202"/>
      <c r="AS289" s="204">
        <f t="shared" si="58"/>
        <v>41913</v>
      </c>
      <c r="AT289" s="317">
        <f t="shared" si="59"/>
        <v>17540</v>
      </c>
      <c r="AU289" s="202">
        <f t="shared" si="60"/>
      </c>
      <c r="AV289" s="202" t="s">
        <v>536</v>
      </c>
      <c r="AW289" s="191"/>
      <c r="BC289" s="190">
        <v>9</v>
      </c>
      <c r="BD289" s="202">
        <f t="shared" si="57"/>
        <v>1051</v>
      </c>
      <c r="BE289" s="202"/>
      <c r="BF289" s="202"/>
      <c r="BG289" s="202"/>
      <c r="BH289" s="202">
        <f>IF(OR(BI289=BG$279,BI289&lt;=BG$279),0,VLOOKUP(BI289,BC$281:BD$294,2,0))</f>
        <v>0</v>
      </c>
      <c r="BI289" s="191">
        <f>BI$287-2</f>
        <v>2</v>
      </c>
      <c r="BJ289" s="190">
        <v>11</v>
      </c>
      <c r="BK289" s="204">
        <v>41944</v>
      </c>
      <c r="BL289" s="191">
        <v>12</v>
      </c>
      <c r="BM289" s="166">
        <v>11</v>
      </c>
      <c r="BO289" s="206">
        <f t="shared" si="39"/>
        <v>41974</v>
      </c>
      <c r="BP289" s="214">
        <f t="shared" si="40"/>
        <v>17540</v>
      </c>
      <c r="BQ289" s="166">
        <f t="shared" si="41"/>
        <v>13663</v>
      </c>
      <c r="BR289" s="166">
        <f>IF(AN$287=12,AP$291,ROUND(BP289*AI279%,0))</f>
        <v>2105</v>
      </c>
      <c r="BS289" s="166">
        <f t="shared" si="42"/>
      </c>
      <c r="BT289" s="166">
        <f t="shared" si="43"/>
      </c>
      <c r="BU289" s="166">
        <f>BU280</f>
      </c>
      <c r="BV289" s="166">
        <f t="shared" si="44"/>
        <v>4736</v>
      </c>
      <c r="BX289" s="166">
        <f t="shared" si="45"/>
        <v>38044</v>
      </c>
      <c r="BY289" s="166">
        <f t="shared" si="46"/>
        <v>3120</v>
      </c>
      <c r="BZ289" s="166">
        <f t="shared" si="47"/>
        <v>1000</v>
      </c>
      <c r="CA289" s="166">
        <f t="shared" si="48"/>
        <v>1000</v>
      </c>
      <c r="CB289" s="166">
        <f t="shared" si="49"/>
        <v>1000</v>
      </c>
      <c r="CC289" s="166">
        <f t="shared" si="50"/>
        <v>200</v>
      </c>
      <c r="CD289" s="166">
        <f t="shared" si="51"/>
        <v>60</v>
      </c>
      <c r="CE289" s="166">
        <f>BV194</f>
        <v>20</v>
      </c>
      <c r="CF289" s="166">
        <f t="shared" si="61"/>
        <v>0</v>
      </c>
      <c r="CG289" s="166">
        <f t="shared" si="52"/>
      </c>
      <c r="CH289" s="166">
        <f t="shared" si="53"/>
        <v>2280</v>
      </c>
      <c r="CI289" s="166">
        <f t="shared" si="37"/>
        <v>35764</v>
      </c>
      <c r="CJ289" s="166">
        <f t="shared" si="54"/>
        <v>1403</v>
      </c>
      <c r="CK289" s="166">
        <f t="shared" si="55"/>
      </c>
      <c r="CL289" s="166">
        <f t="shared" si="56"/>
      </c>
    </row>
    <row r="290" spans="37:90" ht="14.25" hidden="1">
      <c r="AK290" s="206"/>
      <c r="AM290" s="193"/>
      <c r="AN290" s="331"/>
      <c r="AP290" s="166" t="e">
        <f>IF(AP289="","",AM286-1)</f>
        <v>#N/A</v>
      </c>
      <c r="AQ290" s="190"/>
      <c r="AR290" s="202"/>
      <c r="AS290" s="204">
        <f t="shared" si="58"/>
        <v>41944</v>
      </c>
      <c r="AT290" s="317">
        <f t="shared" si="59"/>
        <v>17540</v>
      </c>
      <c r="AU290" s="202">
        <f t="shared" si="60"/>
      </c>
      <c r="AV290" s="202">
        <f>VLOOKUP(AQ276,CK175:CW186,12,FALSE)</f>
        <v>0</v>
      </c>
      <c r="AW290" s="191">
        <f>IF(AR275="","",IF(AR275=2,ROUND(AV290/2,0),IF(AR275=3,AV290)))</f>
      </c>
      <c r="BC290" s="190">
        <v>10</v>
      </c>
      <c r="BD290" s="202">
        <f t="shared" si="57"/>
        <v>1051</v>
      </c>
      <c r="BE290" s="202"/>
      <c r="BF290" s="202"/>
      <c r="BG290" s="202"/>
      <c r="BH290" s="202">
        <f>IF(OR(BI290=BG$279,BI290&lt;=BG$279),0,VLOOKUP(BI290,BC$281:BD$294,2,0))</f>
        <v>0</v>
      </c>
      <c r="BI290" s="191">
        <f>BI$287-3</f>
        <v>1</v>
      </c>
      <c r="BJ290" s="190">
        <v>12</v>
      </c>
      <c r="BK290" s="204">
        <v>41974</v>
      </c>
      <c r="BL290" s="191">
        <v>13</v>
      </c>
      <c r="BM290" s="166">
        <v>12</v>
      </c>
      <c r="BO290" s="206">
        <f t="shared" si="39"/>
        <v>42005</v>
      </c>
      <c r="BP290" s="214">
        <f t="shared" si="40"/>
        <v>17540</v>
      </c>
      <c r="BQ290" s="166">
        <f t="shared" si="41"/>
        <v>13663</v>
      </c>
      <c r="BR290" s="166">
        <f>IF(AN$287=13,AP$291,ROUND(BP290*AI280%,0))</f>
        <v>2105</v>
      </c>
      <c r="BS290" s="166">
        <f t="shared" si="42"/>
      </c>
      <c r="BT290" s="166">
        <f t="shared" si="43"/>
      </c>
      <c r="BU290" s="166">
        <f>BV179</f>
      </c>
      <c r="BV290" s="166">
        <f t="shared" si="44"/>
        <v>4736</v>
      </c>
      <c r="BX290" s="166">
        <f t="shared" si="45"/>
        <v>38044</v>
      </c>
      <c r="BY290" s="166">
        <f t="shared" si="46"/>
        <v>3120</v>
      </c>
      <c r="BZ290" s="166">
        <f t="shared" si="47"/>
        <v>1000</v>
      </c>
      <c r="CA290" s="166">
        <f>IF(CA$279=BZ$279,BZ290,IF(CA$279=BY$279,BY290))</f>
        <v>1000</v>
      </c>
      <c r="CB290" s="166">
        <f t="shared" si="49"/>
        <v>1000</v>
      </c>
      <c r="CC290" s="166">
        <f t="shared" si="50"/>
        <v>200</v>
      </c>
      <c r="CD290" s="166">
        <f t="shared" si="51"/>
        <v>60</v>
      </c>
      <c r="CF290" s="166">
        <f t="shared" si="61"/>
        <v>0</v>
      </c>
      <c r="CG290" s="166">
        <f t="shared" si="52"/>
      </c>
      <c r="CH290" s="166">
        <f t="shared" si="53"/>
        <v>2260</v>
      </c>
      <c r="CI290" s="166">
        <f t="shared" si="37"/>
        <v>35784</v>
      </c>
      <c r="CJ290" s="166">
        <f t="shared" si="54"/>
        <v>1403</v>
      </c>
      <c r="CK290" s="166">
        <f t="shared" si="55"/>
      </c>
      <c r="CL290" s="166">
        <f t="shared" si="56"/>
      </c>
    </row>
    <row r="291" spans="37:90" ht="14.25" hidden="1">
      <c r="AK291" s="206">
        <f>AK289</f>
      </c>
      <c r="AL291" s="166">
        <f>IF(AK289="","",VLOOKUP(AK289,BO$280:BR$291,2,0))</f>
      </c>
      <c r="AM291" s="166">
        <f>AL289</f>
      </c>
      <c r="AN291" s="166">
        <f>IF(AL291="","",ROUND(AL291*AP290/AO289*AG266%,0))</f>
      </c>
      <c r="AO291" s="166">
        <f>IF(AL291="","",ROUND(AL291*AP288/AO289*AH266%,0))</f>
      </c>
      <c r="AP291" s="166">
        <f>IF(AN291="","",AN291+AO291)</f>
      </c>
      <c r="AQ291" s="190"/>
      <c r="AR291" s="202"/>
      <c r="AS291" s="204">
        <f t="shared" si="58"/>
        <v>41974</v>
      </c>
      <c r="AT291" s="317">
        <f t="shared" si="59"/>
        <v>17540</v>
      </c>
      <c r="AU291" s="202">
        <f t="shared" si="60"/>
      </c>
      <c r="AV291" s="202"/>
      <c r="AW291" s="191"/>
      <c r="BC291" s="190">
        <v>11</v>
      </c>
      <c r="BD291" s="202">
        <f t="shared" si="57"/>
        <v>1051</v>
      </c>
      <c r="BE291" s="202"/>
      <c r="BF291" s="202"/>
      <c r="BG291" s="202"/>
      <c r="BH291" s="202">
        <f>IF(OR(BI291=BG$279,BI291&lt;=BG$279),0,VLOOKUP(BI291,BC$281:BD$294,2,0))</f>
        <v>0</v>
      </c>
      <c r="BI291" s="191">
        <f>BI$287-4</f>
        <v>0</v>
      </c>
      <c r="BJ291" s="190">
        <v>13</v>
      </c>
      <c r="BK291" s="204">
        <v>42005</v>
      </c>
      <c r="BL291" s="191">
        <v>14</v>
      </c>
      <c r="BM291" s="166">
        <v>13</v>
      </c>
      <c r="BO291" s="206">
        <f t="shared" si="39"/>
        <v>42036</v>
      </c>
      <c r="BP291" s="214">
        <f t="shared" si="40"/>
        <v>17540</v>
      </c>
      <c r="BQ291" s="166">
        <f t="shared" si="41"/>
        <v>13663</v>
      </c>
      <c r="BR291" s="166">
        <f>IF(AN$287=14,AP$291,ROUND(BP291*AI281%,0))</f>
        <v>2105</v>
      </c>
      <c r="BS291" s="166">
        <f t="shared" si="42"/>
      </c>
      <c r="BT291" s="166">
        <f t="shared" si="43"/>
      </c>
      <c r="BU291" s="166">
        <f>BU280</f>
      </c>
      <c r="BV291" s="166">
        <f t="shared" si="44"/>
        <v>4736</v>
      </c>
      <c r="BX291" s="166">
        <f t="shared" si="45"/>
        <v>38044</v>
      </c>
      <c r="BY291" s="166">
        <f t="shared" si="46"/>
        <v>3120</v>
      </c>
      <c r="BZ291" s="166">
        <f t="shared" si="47"/>
        <v>1000</v>
      </c>
      <c r="CA291" s="166">
        <f t="shared" si="48"/>
        <v>1000</v>
      </c>
      <c r="CB291" s="166">
        <f t="shared" si="49"/>
        <v>1000</v>
      </c>
      <c r="CC291" s="166">
        <f t="shared" si="50"/>
        <v>200</v>
      </c>
      <c r="CD291" s="166">
        <f t="shared" si="51"/>
        <v>60</v>
      </c>
      <c r="CF291" s="166">
        <f t="shared" si="61"/>
        <v>0</v>
      </c>
      <c r="CG291" s="166">
        <f t="shared" si="52"/>
      </c>
      <c r="CH291" s="166">
        <f t="shared" si="53"/>
        <v>2260</v>
      </c>
      <c r="CI291" s="166">
        <f t="shared" si="37"/>
        <v>35784</v>
      </c>
      <c r="CJ291" s="166">
        <f t="shared" si="54"/>
        <v>1403</v>
      </c>
      <c r="CK291" s="166">
        <f t="shared" si="55"/>
      </c>
      <c r="CL291" s="166">
        <f t="shared" si="56"/>
      </c>
    </row>
    <row r="292" spans="37:67" ht="14.25" hidden="1">
      <c r="AK292" s="206"/>
      <c r="AP292" s="166">
        <f>IF(AX141=BB148,"",AP291)</f>
      </c>
      <c r="AQ292" s="190"/>
      <c r="AR292" s="202"/>
      <c r="AS292" s="204">
        <f t="shared" si="58"/>
        <v>42005</v>
      </c>
      <c r="AT292" s="317">
        <f t="shared" si="59"/>
        <v>17540</v>
      </c>
      <c r="AU292" s="202">
        <f t="shared" si="60"/>
      </c>
      <c r="AV292" s="202"/>
      <c r="AW292" s="191" t="s">
        <v>604</v>
      </c>
      <c r="AX292" s="166">
        <f>L21</f>
        <v>0</v>
      </c>
      <c r="AY292" s="166">
        <f>IF(AR275=3,AX292,IF(AR275=2,AX292/2,0))</f>
        <v>0</v>
      </c>
      <c r="AZ292" s="166">
        <f>IF(AX292=0,"",AY292)</f>
      </c>
      <c r="BC292" s="190">
        <v>12</v>
      </c>
      <c r="BD292" s="202">
        <f t="shared" si="57"/>
        <v>1051</v>
      </c>
      <c r="BE292" s="202"/>
      <c r="BF292" s="202"/>
      <c r="BG292" s="202" t="s">
        <v>22</v>
      </c>
      <c r="BH292" s="202" t="s">
        <v>310</v>
      </c>
      <c r="BI292" s="191" t="s">
        <v>311</v>
      </c>
      <c r="BJ292" s="190">
        <v>14</v>
      </c>
      <c r="BK292" s="204">
        <v>42036</v>
      </c>
      <c r="BL292" s="191">
        <v>15</v>
      </c>
      <c r="BM292" s="166">
        <v>14</v>
      </c>
      <c r="BO292" s="206"/>
    </row>
    <row r="293" spans="43:64" ht="14.25" hidden="1">
      <c r="AQ293" s="196"/>
      <c r="AR293" s="211"/>
      <c r="AS293" s="213">
        <f t="shared" si="58"/>
        <v>42036</v>
      </c>
      <c r="AT293" s="332">
        <f t="shared" si="59"/>
        <v>17540</v>
      </c>
      <c r="AU293" s="211">
        <f t="shared" si="60"/>
      </c>
      <c r="AV293" s="211"/>
      <c r="AW293" s="197"/>
      <c r="BC293" s="190">
        <v>13</v>
      </c>
      <c r="BD293" s="202">
        <f t="shared" si="57"/>
        <v>1051</v>
      </c>
      <c r="BE293" s="202"/>
      <c r="BF293" s="202"/>
      <c r="BG293" s="202">
        <f>SUM(BG281:BG286)</f>
        <v>5840</v>
      </c>
      <c r="BH293" s="202">
        <f>SUM(BH287:BH291)</f>
        <v>0</v>
      </c>
      <c r="BI293" s="191">
        <f>BG293+BH293</f>
        <v>5840</v>
      </c>
      <c r="BJ293" s="190">
        <v>15</v>
      </c>
      <c r="BK293" s="204">
        <v>42064</v>
      </c>
      <c r="BL293" s="191"/>
    </row>
    <row r="294" spans="45:88" ht="14.25" hidden="1">
      <c r="AS294" s="206"/>
      <c r="BC294" s="196">
        <v>14</v>
      </c>
      <c r="BD294" s="211">
        <f t="shared" si="57"/>
        <v>1051</v>
      </c>
      <c r="BE294" s="211"/>
      <c r="BF294" s="211"/>
      <c r="BG294" s="211"/>
      <c r="BH294" s="211"/>
      <c r="BI294" s="197"/>
      <c r="BJ294" s="196"/>
      <c r="BK294" s="211"/>
      <c r="BL294" s="197"/>
      <c r="BO294" s="166" t="s">
        <v>770</v>
      </c>
      <c r="BQ294" s="166">
        <f>BI293</f>
        <v>5840</v>
      </c>
      <c r="BX294" s="166">
        <f>BQ294</f>
        <v>5840</v>
      </c>
      <c r="CA294" s="166">
        <f>IF(BQ179=1,BG293,"")</f>
        <v>5840</v>
      </c>
      <c r="CH294" s="166">
        <f>CA294</f>
        <v>5840</v>
      </c>
      <c r="CI294" s="166">
        <f>BX294-CA294</f>
        <v>0</v>
      </c>
      <c r="CJ294" s="166">
        <f>BQ294-BG293</f>
        <v>0</v>
      </c>
    </row>
    <row r="295" spans="60:87" ht="14.25" hidden="1">
      <c r="BH295" s="166">
        <f>BH296+BF297</f>
        <v>9</v>
      </c>
      <c r="BI295" s="195">
        <f>VLOOKUP(BH295,BJ285:BK293,2,0)</f>
        <v>41883</v>
      </c>
      <c r="BO295" s="166" t="s">
        <v>771</v>
      </c>
      <c r="BQ295" s="166">
        <f>BH308</f>
        <v>3123</v>
      </c>
      <c r="BX295" s="166">
        <f>BQ295</f>
        <v>3123</v>
      </c>
      <c r="CA295" s="166">
        <f>IF(BQ179=1,BF308,"")</f>
        <v>3123</v>
      </c>
      <c r="CH295" s="166">
        <f>CA295</f>
        <v>3123</v>
      </c>
      <c r="CI295" s="166">
        <f>BX295-CA295</f>
        <v>0</v>
      </c>
    </row>
    <row r="296" spans="39:62" ht="14.25" hidden="1">
      <c r="AM296" s="206">
        <v>41640</v>
      </c>
      <c r="AN296" s="166">
        <f>BA258</f>
        <v>17050</v>
      </c>
      <c r="AO296" s="166">
        <f>BR278</f>
        <v>2046</v>
      </c>
      <c r="AP296" s="166">
        <f>IF(AN$287=1,AP$291,AO296)</f>
        <v>2046</v>
      </c>
      <c r="BC296" s="188">
        <v>1</v>
      </c>
      <c r="BD296" s="200">
        <f>BJ268</f>
        <v>1021</v>
      </c>
      <c r="BE296" s="200"/>
      <c r="BF296" s="200" t="s">
        <v>22</v>
      </c>
      <c r="BG296" s="200" t="s">
        <v>310</v>
      </c>
      <c r="BH296" s="189">
        <v>6</v>
      </c>
      <c r="BI296" s="188"/>
      <c r="BJ296" s="189"/>
    </row>
    <row r="297" spans="39:87" ht="14.25" hidden="1">
      <c r="AM297" s="206">
        <v>41671</v>
      </c>
      <c r="AN297" s="166">
        <f aca="true" t="shared" si="62" ref="AN297:AN309">BA259</f>
        <v>17050</v>
      </c>
      <c r="AO297" s="166">
        <f aca="true" t="shared" si="63" ref="AO297:AO309">BR279</f>
        <v>2046</v>
      </c>
      <c r="AP297" s="166">
        <f>IF(AN$287=2,AP$291,AO297)</f>
        <v>2046</v>
      </c>
      <c r="BC297" s="190">
        <v>2</v>
      </c>
      <c r="BD297" s="202">
        <f aca="true" t="shared" si="64" ref="BD297:BD303">BJ269</f>
        <v>1051</v>
      </c>
      <c r="BE297" s="202"/>
      <c r="BF297" s="266">
        <v>3</v>
      </c>
      <c r="BG297" s="202">
        <f>BL312</f>
        <v>0</v>
      </c>
      <c r="BH297" s="191">
        <f>BF297+BG297</f>
        <v>3</v>
      </c>
      <c r="BI297" s="190">
        <v>1</v>
      </c>
      <c r="BJ297" s="191">
        <v>7</v>
      </c>
      <c r="BO297" s="166" t="s">
        <v>312</v>
      </c>
      <c r="BP297" s="166">
        <f>AS277</f>
      </c>
      <c r="BQ297" s="166">
        <f>AT279</f>
      </c>
      <c r="BR297" s="166">
        <f>AU279</f>
      </c>
      <c r="BU297" s="166">
        <f>IF(AW282=0,"",AW282)</f>
      </c>
      <c r="BX297" s="166">
        <f>SUM(BP297:BW297)</f>
        <v>0</v>
      </c>
      <c r="CI297" s="166">
        <f>BX297</f>
        <v>0</v>
      </c>
    </row>
    <row r="298" spans="39:67" ht="14.25" hidden="1">
      <c r="AM298" s="206">
        <v>41699</v>
      </c>
      <c r="AN298" s="166">
        <f t="shared" si="62"/>
        <v>17050</v>
      </c>
      <c r="AO298" s="166">
        <f t="shared" si="63"/>
        <v>2046</v>
      </c>
      <c r="AP298" s="166">
        <f>IF(AN$287=3,AP$291,AO298)</f>
        <v>2046</v>
      </c>
      <c r="BC298" s="190">
        <v>3</v>
      </c>
      <c r="BD298" s="202">
        <f t="shared" si="64"/>
        <v>1051</v>
      </c>
      <c r="BE298" s="202"/>
      <c r="BF298" s="204">
        <f>VLOOKUP(BI305,BJ279:BL293,2,0)</f>
        <v>41883</v>
      </c>
      <c r="BG298" s="202">
        <f aca="true" t="shared" si="65" ref="BG298:BG303">IF(OR(BH298=0,BH298&lt;0),0,VLOOKUP(BH298,BC$296:BD$303,2,0))</f>
        <v>1051</v>
      </c>
      <c r="BH298" s="191">
        <f>BF$297</f>
        <v>3</v>
      </c>
      <c r="BI298" s="190">
        <v>2</v>
      </c>
      <c r="BJ298" s="191">
        <v>8</v>
      </c>
      <c r="BO298" s="166" t="str">
        <f>J34</f>
        <v>Step up/ Preponment Arrears</v>
      </c>
    </row>
    <row r="299" spans="39:67" ht="14.25" hidden="1">
      <c r="AM299" s="206">
        <v>41730</v>
      </c>
      <c r="AN299" s="166">
        <f t="shared" si="62"/>
        <v>17050</v>
      </c>
      <c r="AO299" s="166">
        <f t="shared" si="63"/>
        <v>2046</v>
      </c>
      <c r="AP299" s="166">
        <f>IF(AN$287=4,AP$291,AO299)</f>
        <v>2046</v>
      </c>
      <c r="BC299" s="190">
        <v>4</v>
      </c>
      <c r="BD299" s="202">
        <f t="shared" si="64"/>
        <v>1051</v>
      </c>
      <c r="BE299" s="202" t="s">
        <v>308</v>
      </c>
      <c r="BF299" s="329">
        <f>VLOOKUP(BF298,AI252:AJ265,2,0)</f>
        <v>41913</v>
      </c>
      <c r="BG299" s="202">
        <f t="shared" si="65"/>
        <v>1051</v>
      </c>
      <c r="BH299" s="191">
        <f>BF$297-1</f>
        <v>2</v>
      </c>
      <c r="BI299" s="190">
        <v>3</v>
      </c>
      <c r="BJ299" s="191">
        <v>9</v>
      </c>
      <c r="BO299" s="166" t="str">
        <f>J35</f>
        <v>      If housing loan taken first time after 1/4/13</v>
      </c>
    </row>
    <row r="300" spans="39:78" ht="14.25" hidden="1">
      <c r="AM300" s="206">
        <v>41760</v>
      </c>
      <c r="AN300" s="166">
        <f t="shared" si="62"/>
        <v>17050</v>
      </c>
      <c r="AO300" s="166">
        <f t="shared" si="63"/>
        <v>2046</v>
      </c>
      <c r="AP300" s="166">
        <f>IF(AN$287=5,AP$291,AO300)</f>
        <v>2046</v>
      </c>
      <c r="BC300" s="190">
        <v>5</v>
      </c>
      <c r="BD300" s="202">
        <f t="shared" si="64"/>
        <v>1051</v>
      </c>
      <c r="BE300" s="202"/>
      <c r="BF300" s="202"/>
      <c r="BG300" s="202">
        <f t="shared" si="65"/>
        <v>1021</v>
      </c>
      <c r="BH300" s="191">
        <f>BF$297-2</f>
        <v>1</v>
      </c>
      <c r="BI300" s="190">
        <v>4</v>
      </c>
      <c r="BJ300" s="191">
        <v>10</v>
      </c>
      <c r="BN300" s="968">
        <f>BK247</f>
      </c>
      <c r="BO300" s="968"/>
      <c r="BP300" s="166">
        <f>BF251</f>
      </c>
      <c r="BQ300" s="166">
        <f>BM247</f>
      </c>
      <c r="BR300" s="166">
        <f>BO247</f>
      </c>
      <c r="BU300" s="166">
        <f>BS254</f>
      </c>
      <c r="BV300" s="166">
        <f>IF(BP300="","",ROUND(BP300*CE$200%,0))</f>
      </c>
      <c r="BX300" s="166">
        <f>SUM(BP300:BW300)</f>
        <v>0</v>
      </c>
      <c r="BY300" s="166">
        <f>IF(BP300="","",BP300+BQ300)</f>
      </c>
      <c r="BZ300" s="166">
        <f>IF(BY300="","",IF(BQ$179=2,ROUND(BY300*10%,0),""))</f>
      </c>
    </row>
    <row r="301" spans="39:78" ht="14.25" hidden="1">
      <c r="AM301" s="206">
        <v>41791</v>
      </c>
      <c r="AN301" s="166">
        <f t="shared" si="62"/>
        <v>17050</v>
      </c>
      <c r="AO301" s="166">
        <f t="shared" si="63"/>
        <v>2046</v>
      </c>
      <c r="AP301" s="166">
        <f>IF(AN$287=6,AP$291,AO301)</f>
        <v>2046</v>
      </c>
      <c r="BC301" s="190">
        <v>6</v>
      </c>
      <c r="BD301" s="202">
        <f t="shared" si="64"/>
        <v>1051</v>
      </c>
      <c r="BE301" s="202"/>
      <c r="BF301" s="202"/>
      <c r="BG301" s="202">
        <f t="shared" si="65"/>
        <v>0</v>
      </c>
      <c r="BH301" s="191">
        <f>BF$297-3</f>
        <v>0</v>
      </c>
      <c r="BI301" s="190">
        <v>5</v>
      </c>
      <c r="BJ301" s="191">
        <v>11</v>
      </c>
      <c r="BN301" s="968">
        <f>BK248</f>
      </c>
      <c r="BO301" s="968"/>
      <c r="BP301" s="166">
        <f>BF252</f>
      </c>
      <c r="BQ301" s="166">
        <f>BM248</f>
      </c>
      <c r="BR301" s="166">
        <f>BO248</f>
      </c>
      <c r="BU301" s="166">
        <f>IF(BS255=0,"",BS255)</f>
      </c>
      <c r="BV301" s="166">
        <f>IF(BP301="","",ROUND(BP301*CE$200%,0))</f>
      </c>
      <c r="BY301" s="166">
        <f>IF(BP301="","",BP301+BQ301)</f>
      </c>
      <c r="BZ301" s="166">
        <f>IF(BY301="","",IF(BQ$179=2,ROUND(BY301*10%,0),""))</f>
      </c>
    </row>
    <row r="302" spans="39:78" ht="14.25" hidden="1">
      <c r="AM302" s="206">
        <v>41821</v>
      </c>
      <c r="AN302" s="166">
        <f t="shared" si="62"/>
        <v>17050</v>
      </c>
      <c r="AO302" s="166">
        <f t="shared" si="63"/>
        <v>2046</v>
      </c>
      <c r="AP302" s="166">
        <f>IF(AN$287=7,AP$291,AO302)</f>
        <v>2046</v>
      </c>
      <c r="BC302" s="190">
        <v>7</v>
      </c>
      <c r="BD302" s="202">
        <f t="shared" si="64"/>
        <v>1051</v>
      </c>
      <c r="BE302" s="202">
        <f>IF(OR(BF302=BF$297,BF302&lt;=BF$297),0,VLOOKUP(BF302,BC$296:BD$303,2,0))</f>
        <v>0</v>
      </c>
      <c r="BF302" s="202">
        <f>BH$297</f>
        <v>3</v>
      </c>
      <c r="BG302" s="202">
        <f t="shared" si="65"/>
        <v>0</v>
      </c>
      <c r="BH302" s="191">
        <f>BF$297-4</f>
        <v>-1</v>
      </c>
      <c r="BI302" s="190">
        <v>6</v>
      </c>
      <c r="BJ302" s="191">
        <v>12</v>
      </c>
      <c r="BN302" s="968">
        <f>BK249</f>
      </c>
      <c r="BO302" s="968"/>
      <c r="BP302" s="166">
        <f>BF253</f>
      </c>
      <c r="BQ302" s="166">
        <f>BM249</f>
      </c>
      <c r="BR302" s="166">
        <f>BO249</f>
      </c>
      <c r="BU302" s="166">
        <f>IF(BS256=0,"",BS256)</f>
      </c>
      <c r="BV302" s="166">
        <f>IF(BP302="","",ROUND(BP302*CE$200%,0))</f>
      </c>
      <c r="BY302" s="166">
        <f>IF(BP302="","",BP302+BQ302)</f>
      </c>
      <c r="BZ302" s="166">
        <f>IF(BY302="","",IF(BQ$179=2,ROUND(BY302*10%,0),""))</f>
      </c>
    </row>
    <row r="303" spans="39:62" ht="14.25" hidden="1">
      <c r="AM303" s="206">
        <v>41852</v>
      </c>
      <c r="AN303" s="166">
        <f t="shared" si="62"/>
        <v>17540</v>
      </c>
      <c r="AO303" s="166">
        <f t="shared" si="63"/>
        <v>2105</v>
      </c>
      <c r="AP303" s="166">
        <f>IF(AN$287=8,AP$291,AO303)</f>
        <v>2105</v>
      </c>
      <c r="BC303" s="190">
        <v>8</v>
      </c>
      <c r="BD303" s="202">
        <f t="shared" si="64"/>
        <v>1051</v>
      </c>
      <c r="BE303" s="202">
        <f>IF(OR(BF303=BF$297,BF303&lt;=BF$297),0,VLOOKUP(BF303,BC$296:BD$303,2,0))</f>
        <v>0</v>
      </c>
      <c r="BF303" s="202">
        <f>BH$297-1</f>
        <v>2</v>
      </c>
      <c r="BG303" s="202">
        <f t="shared" si="65"/>
        <v>0</v>
      </c>
      <c r="BH303" s="191">
        <f>BF$297-5</f>
        <v>-2</v>
      </c>
      <c r="BI303" s="190">
        <v>7</v>
      </c>
      <c r="BJ303" s="191">
        <v>13</v>
      </c>
    </row>
    <row r="304" spans="39:70" ht="14.25" hidden="1">
      <c r="AM304" s="206">
        <v>41883</v>
      </c>
      <c r="AN304" s="166">
        <f t="shared" si="62"/>
        <v>17540</v>
      </c>
      <c r="AO304" s="166">
        <f t="shared" si="63"/>
        <v>2105</v>
      </c>
      <c r="AP304" s="166">
        <f>IF(AN$287=9,AP$291,AO304)</f>
        <v>2105</v>
      </c>
      <c r="BC304" s="190"/>
      <c r="BD304" s="202"/>
      <c r="BE304" s="202">
        <f>IF(OR(BF304=BF$297,BF304&lt;=BF$297),0,VLOOKUP(BF304,BC$296:BD$303,2,0))</f>
        <v>0</v>
      </c>
      <c r="BF304" s="202">
        <f>BH$297-2</f>
        <v>1</v>
      </c>
      <c r="BG304" s="202"/>
      <c r="BH304" s="191"/>
      <c r="BI304" s="190">
        <v>8</v>
      </c>
      <c r="BJ304" s="191">
        <v>14</v>
      </c>
      <c r="BR304" s="166">
        <f>BR278</f>
        <v>2046</v>
      </c>
    </row>
    <row r="305" spans="39:70" ht="14.25" hidden="1">
      <c r="AM305" s="206">
        <v>41913</v>
      </c>
      <c r="AN305" s="166">
        <f t="shared" si="62"/>
        <v>17540</v>
      </c>
      <c r="AO305" s="166">
        <f t="shared" si="63"/>
        <v>2105</v>
      </c>
      <c r="AP305" s="166">
        <f>IF(AN$287=10,AP$291,AO305)</f>
        <v>2105</v>
      </c>
      <c r="BC305" s="190"/>
      <c r="BD305" s="202"/>
      <c r="BE305" s="202">
        <f>IF(OR(BF305=BF$297,BF305&lt;=BF$297),0,VLOOKUP(BF305,BC$296:BD$303,2,0))</f>
        <v>0</v>
      </c>
      <c r="BF305" s="202">
        <f>BH$297-3</f>
        <v>0</v>
      </c>
      <c r="BG305" s="202"/>
      <c r="BH305" s="191"/>
      <c r="BI305" s="216">
        <f>BH297+BH296</f>
        <v>9</v>
      </c>
      <c r="BJ305" s="191"/>
      <c r="BR305" s="166">
        <f aca="true" t="shared" si="66" ref="BR305:BR317">BR279</f>
        <v>2046</v>
      </c>
    </row>
    <row r="306" spans="39:70" ht="14.25" hidden="1">
      <c r="AM306" s="206">
        <v>41944</v>
      </c>
      <c r="AN306" s="166">
        <f t="shared" si="62"/>
        <v>17540</v>
      </c>
      <c r="AO306" s="166">
        <f t="shared" si="63"/>
        <v>2105</v>
      </c>
      <c r="AP306" s="166">
        <f>IF(AN$287=11,AP$291,AO306)</f>
        <v>2105</v>
      </c>
      <c r="BC306" s="333">
        <v>41821</v>
      </c>
      <c r="BD306" s="334" t="s">
        <v>33</v>
      </c>
      <c r="BE306" s="202"/>
      <c r="BF306" s="202"/>
      <c r="BG306" s="202"/>
      <c r="BH306" s="191"/>
      <c r="BI306" s="190"/>
      <c r="BJ306" s="191"/>
      <c r="BR306" s="166">
        <f t="shared" si="66"/>
        <v>2046</v>
      </c>
    </row>
    <row r="307" spans="39:70" ht="14.25" hidden="1">
      <c r="AM307" s="206">
        <v>41974</v>
      </c>
      <c r="AN307" s="166">
        <f t="shared" si="62"/>
        <v>17540</v>
      </c>
      <c r="AO307" s="166">
        <f t="shared" si="63"/>
        <v>2105</v>
      </c>
      <c r="AP307" s="166">
        <f>IF(AN$287=12,AP$291,AO307)</f>
        <v>2105</v>
      </c>
      <c r="BC307" s="190"/>
      <c r="BD307" s="202"/>
      <c r="BE307" s="202"/>
      <c r="BF307" s="202" t="s">
        <v>22</v>
      </c>
      <c r="BG307" s="202" t="s">
        <v>310</v>
      </c>
      <c r="BH307" s="191" t="s">
        <v>311</v>
      </c>
      <c r="BI307" s="190"/>
      <c r="BJ307" s="191"/>
      <c r="BR307" s="166">
        <f t="shared" si="66"/>
        <v>2046</v>
      </c>
    </row>
    <row r="308" spans="39:70" ht="14.25" hidden="1">
      <c r="AM308" s="206">
        <v>42005</v>
      </c>
      <c r="AN308" s="166">
        <f t="shared" si="62"/>
        <v>17540</v>
      </c>
      <c r="AO308" s="166">
        <f t="shared" si="63"/>
        <v>2105</v>
      </c>
      <c r="AP308" s="166">
        <f>IF(AN$287=13,AP$291,AO308)</f>
        <v>2105</v>
      </c>
      <c r="BC308" s="196"/>
      <c r="BD308" s="211"/>
      <c r="BE308" s="211"/>
      <c r="BF308" s="211">
        <f>SUM(BG298:BG303)</f>
        <v>3123</v>
      </c>
      <c r="BG308" s="211">
        <f>SUM(BE302:BE305)</f>
        <v>0</v>
      </c>
      <c r="BH308" s="197">
        <f>BF308+BG308</f>
        <v>3123</v>
      </c>
      <c r="BI308" s="196"/>
      <c r="BJ308" s="197"/>
      <c r="BR308" s="166">
        <f t="shared" si="66"/>
        <v>2046</v>
      </c>
    </row>
    <row r="309" spans="39:70" ht="15" hidden="1" thickBot="1">
      <c r="AM309" s="206">
        <v>42036</v>
      </c>
      <c r="AN309" s="166">
        <f t="shared" si="62"/>
        <v>17540</v>
      </c>
      <c r="AO309" s="166">
        <f t="shared" si="63"/>
        <v>2105</v>
      </c>
      <c r="AP309" s="166">
        <f>IF(AN$287=14,AP$291,AO309)</f>
        <v>2105</v>
      </c>
      <c r="BR309" s="166">
        <f t="shared" si="66"/>
        <v>2046</v>
      </c>
    </row>
    <row r="310" spans="59:70" ht="14.25" hidden="1">
      <c r="BG310" s="244"/>
      <c r="BH310" s="245" t="s">
        <v>579</v>
      </c>
      <c r="BI310" s="335">
        <v>1</v>
      </c>
      <c r="BJ310" s="245"/>
      <c r="BK310" s="255" t="s">
        <v>579</v>
      </c>
      <c r="BL310" s="246"/>
      <c r="BR310" s="166">
        <f t="shared" si="66"/>
        <v>2046</v>
      </c>
    </row>
    <row r="311" spans="59:70" ht="14.25" hidden="1">
      <c r="BG311" s="247">
        <v>1</v>
      </c>
      <c r="BH311" s="336">
        <f>VLOOKUP(BF284,AI$252:AJ$265,2,0)</f>
        <v>41760</v>
      </c>
      <c r="BI311" s="337">
        <f>BI310-1</f>
        <v>0</v>
      </c>
      <c r="BJ311" s="202">
        <v>1</v>
      </c>
      <c r="BK311" s="336">
        <f>VLOOKUP(BI295,AI$252:AJ$265,2,0)</f>
        <v>41913</v>
      </c>
      <c r="BL311" s="259">
        <v>1</v>
      </c>
      <c r="BR311" s="166">
        <f t="shared" si="66"/>
        <v>2105</v>
      </c>
    </row>
    <row r="312" spans="59:70" ht="14.25" hidden="1">
      <c r="BG312" s="247">
        <v>2</v>
      </c>
      <c r="BH312" s="336">
        <f>VLOOKUP(BH311,AI$252:AJ$265,2,0)</f>
        <v>41791</v>
      </c>
      <c r="BI312" s="202"/>
      <c r="BJ312" s="202">
        <v>2</v>
      </c>
      <c r="BK312" s="336">
        <f>VLOOKUP(BK311,AI$252:AJ$265,2,0)</f>
        <v>41944</v>
      </c>
      <c r="BL312" s="338">
        <f>BL311-1</f>
        <v>0</v>
      </c>
      <c r="BR312" s="166">
        <f t="shared" si="66"/>
        <v>2105</v>
      </c>
    </row>
    <row r="313" spans="59:70" ht="14.25" hidden="1">
      <c r="BG313" s="247">
        <v>3</v>
      </c>
      <c r="BH313" s="336">
        <f>VLOOKUP(BH312,AI$252:AJ$265,2,0)</f>
        <v>41821</v>
      </c>
      <c r="BI313" s="202"/>
      <c r="BJ313" s="202">
        <v>3</v>
      </c>
      <c r="BK313" s="336">
        <f>IF(BL313=BK293,"",BL313)</f>
        <v>41974</v>
      </c>
      <c r="BL313" s="282">
        <f>VLOOKUP(BK312,AI$252:AJ$265,2,0)</f>
        <v>41974</v>
      </c>
      <c r="BR313" s="166">
        <f t="shared" si="66"/>
        <v>2105</v>
      </c>
    </row>
    <row r="314" spans="59:70" ht="14.25" hidden="1">
      <c r="BG314" s="247">
        <v>4</v>
      </c>
      <c r="BH314" s="336">
        <f>VLOOKUP(BH313,AI$252:AJ$265,2,0)</f>
        <v>41852</v>
      </c>
      <c r="BI314" s="202"/>
      <c r="BJ314" s="202"/>
      <c r="BK314" s="336"/>
      <c r="BL314" s="249"/>
      <c r="BR314" s="166">
        <f t="shared" si="66"/>
        <v>2105</v>
      </c>
    </row>
    <row r="315" spans="59:70" ht="15" hidden="1" thickBot="1">
      <c r="BG315" s="250">
        <v>5</v>
      </c>
      <c r="BH315" s="339">
        <f>VLOOKUP(BH314,AI$252:AJ$265,2,0)</f>
        <v>41883</v>
      </c>
      <c r="BI315" s="251"/>
      <c r="BJ315" s="251"/>
      <c r="BK315" s="251"/>
      <c r="BL315" s="253"/>
      <c r="BR315" s="166">
        <f t="shared" si="66"/>
        <v>2105</v>
      </c>
    </row>
    <row r="316" spans="60:70" ht="14.25" hidden="1">
      <c r="BH316" s="181"/>
      <c r="BR316" s="166">
        <f t="shared" si="66"/>
        <v>2105</v>
      </c>
    </row>
    <row r="317" ht="14.25" hidden="1">
      <c r="BR317" s="166">
        <f t="shared" si="66"/>
        <v>2105</v>
      </c>
    </row>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spans="1:78" ht="14.25">
      <c r="A331" s="784"/>
      <c r="B331" s="784"/>
      <c r="C331" s="784"/>
      <c r="D331" s="784"/>
      <c r="E331" s="784"/>
      <c r="F331" s="784"/>
      <c r="G331" s="784"/>
      <c r="H331" s="784"/>
      <c r="I331" s="784"/>
      <c r="J331" s="784"/>
      <c r="K331" s="784"/>
      <c r="L331" s="784"/>
      <c r="M331" s="784"/>
      <c r="N331" s="784"/>
      <c r="O331" s="784"/>
      <c r="P331" s="784"/>
      <c r="Q331" s="784"/>
      <c r="R331" s="784"/>
      <c r="S331" s="784"/>
      <c r="T331" s="785"/>
      <c r="U331" s="784"/>
      <c r="V331" s="784"/>
      <c r="W331" s="784"/>
      <c r="X331" s="784"/>
      <c r="Y331" s="784"/>
      <c r="Z331" s="784"/>
      <c r="AA331" s="784"/>
      <c r="AB331" s="784"/>
      <c r="AC331" s="784"/>
      <c r="AD331" s="784"/>
      <c r="AE331" s="784"/>
      <c r="AF331" s="784"/>
      <c r="AG331" s="784"/>
      <c r="AH331" s="784"/>
      <c r="AI331" s="784"/>
      <c r="AJ331" s="784"/>
      <c r="AK331" s="784"/>
      <c r="AL331" s="784"/>
      <c r="AM331" s="784"/>
      <c r="AN331" s="784"/>
      <c r="AO331" s="784"/>
      <c r="AP331" s="784"/>
      <c r="AQ331" s="784"/>
      <c r="AR331" s="784"/>
      <c r="AS331" s="784"/>
      <c r="AT331" s="784"/>
      <c r="AU331" s="784"/>
      <c r="AV331" s="784"/>
      <c r="AW331" s="784"/>
      <c r="AX331" s="784"/>
      <c r="AY331" s="784"/>
      <c r="AZ331" s="784"/>
      <c r="BA331" s="784"/>
      <c r="BB331" s="784"/>
      <c r="BC331" s="784"/>
      <c r="BD331" s="784"/>
      <c r="BE331" s="784"/>
      <c r="BF331" s="784"/>
      <c r="BG331" s="784"/>
      <c r="BH331" s="784"/>
      <c r="BI331" s="784"/>
      <c r="BJ331" s="784"/>
      <c r="BK331" s="784"/>
      <c r="BL331" s="784"/>
      <c r="BM331" s="784"/>
      <c r="BN331" s="784"/>
      <c r="BO331" s="784"/>
      <c r="BP331" s="784"/>
      <c r="BQ331" s="784"/>
      <c r="BR331" s="784"/>
      <c r="BS331" s="784"/>
      <c r="BT331" s="784"/>
      <c r="BU331" s="784"/>
      <c r="BV331" s="784"/>
      <c r="BW331" s="784"/>
      <c r="BX331" s="784"/>
      <c r="BY331" s="784"/>
      <c r="BZ331" s="784"/>
    </row>
    <row r="332" spans="1:78" ht="14.25">
      <c r="A332" s="784"/>
      <c r="B332" s="784"/>
      <c r="C332" s="784"/>
      <c r="D332" s="784"/>
      <c r="E332" s="784"/>
      <c r="F332" s="784"/>
      <c r="G332" s="784"/>
      <c r="H332" s="784"/>
      <c r="I332" s="784"/>
      <c r="J332" s="784"/>
      <c r="K332" s="784"/>
      <c r="L332" s="784"/>
      <c r="M332" s="784"/>
      <c r="N332" s="784"/>
      <c r="O332" s="784"/>
      <c r="P332" s="784"/>
      <c r="Q332" s="784"/>
      <c r="R332" s="784"/>
      <c r="S332" s="784"/>
      <c r="T332" s="785"/>
      <c r="U332" s="784"/>
      <c r="V332" s="784"/>
      <c r="W332" s="784"/>
      <c r="X332" s="784"/>
      <c r="Y332" s="784"/>
      <c r="Z332" s="784"/>
      <c r="AA332" s="784"/>
      <c r="AB332" s="784"/>
      <c r="AC332" s="784"/>
      <c r="AD332" s="784"/>
      <c r="AE332" s="784"/>
      <c r="AF332" s="784"/>
      <c r="AG332" s="784"/>
      <c r="AH332" s="784"/>
      <c r="AI332" s="784"/>
      <c r="AJ332" s="784"/>
      <c r="AK332" s="784"/>
      <c r="AL332" s="784"/>
      <c r="AM332" s="784"/>
      <c r="AN332" s="784"/>
      <c r="AO332" s="784"/>
      <c r="AP332" s="784"/>
      <c r="AQ332" s="784"/>
      <c r="AR332" s="784"/>
      <c r="AS332" s="784"/>
      <c r="AT332" s="784"/>
      <c r="AU332" s="784"/>
      <c r="AV332" s="784"/>
      <c r="AW332" s="784"/>
      <c r="AX332" s="784"/>
      <c r="AY332" s="784"/>
      <c r="AZ332" s="784"/>
      <c r="BA332" s="784"/>
      <c r="BB332" s="784"/>
      <c r="BC332" s="784"/>
      <c r="BD332" s="784"/>
      <c r="BE332" s="784"/>
      <c r="BF332" s="784"/>
      <c r="BG332" s="784"/>
      <c r="BH332" s="784"/>
      <c r="BI332" s="784"/>
      <c r="BJ332" s="784"/>
      <c r="BK332" s="784"/>
      <c r="BL332" s="784"/>
      <c r="BM332" s="784"/>
      <c r="BN332" s="784"/>
      <c r="BO332" s="784"/>
      <c r="BP332" s="784"/>
      <c r="BQ332" s="784"/>
      <c r="BR332" s="784"/>
      <c r="BS332" s="784"/>
      <c r="BT332" s="784"/>
      <c r="BU332" s="784"/>
      <c r="BV332" s="784"/>
      <c r="BW332" s="784"/>
      <c r="BX332" s="784"/>
      <c r="BY332" s="784"/>
      <c r="BZ332" s="784"/>
    </row>
    <row r="333" spans="1:78" ht="14.25">
      <c r="A333" s="784"/>
      <c r="B333" s="784"/>
      <c r="C333" s="784"/>
      <c r="D333" s="784"/>
      <c r="E333" s="784"/>
      <c r="F333" s="784"/>
      <c r="G333" s="784"/>
      <c r="H333" s="784"/>
      <c r="I333" s="784"/>
      <c r="J333" s="784"/>
      <c r="K333" s="784"/>
      <c r="L333" s="784"/>
      <c r="M333" s="784"/>
      <c r="N333" s="784"/>
      <c r="O333" s="784"/>
      <c r="P333" s="784"/>
      <c r="Q333" s="784"/>
      <c r="R333" s="784"/>
      <c r="S333" s="784"/>
      <c r="T333" s="785"/>
      <c r="U333" s="784"/>
      <c r="V333" s="784"/>
      <c r="W333" s="784"/>
      <c r="X333" s="784"/>
      <c r="Y333" s="784"/>
      <c r="Z333" s="784"/>
      <c r="AA333" s="784"/>
      <c r="AB333" s="784"/>
      <c r="AC333" s="784"/>
      <c r="AD333" s="784"/>
      <c r="AE333" s="784"/>
      <c r="AF333" s="784"/>
      <c r="AG333" s="784"/>
      <c r="AH333" s="784"/>
      <c r="AI333" s="784"/>
      <c r="AJ333" s="784"/>
      <c r="AK333" s="784"/>
      <c r="AL333" s="784"/>
      <c r="AM333" s="784"/>
      <c r="AN333" s="784"/>
      <c r="AO333" s="784"/>
      <c r="AP333" s="784"/>
      <c r="AQ333" s="784"/>
      <c r="AR333" s="784"/>
      <c r="AS333" s="784"/>
      <c r="AT333" s="784"/>
      <c r="AU333" s="784"/>
      <c r="AV333" s="784"/>
      <c r="AW333" s="784"/>
      <c r="AX333" s="784"/>
      <c r="AY333" s="784"/>
      <c r="AZ333" s="784"/>
      <c r="BA333" s="784"/>
      <c r="BB333" s="784"/>
      <c r="BC333" s="784"/>
      <c r="BD333" s="784"/>
      <c r="BE333" s="784"/>
      <c r="BF333" s="784"/>
      <c r="BG333" s="784"/>
      <c r="BH333" s="784"/>
      <c r="BI333" s="784"/>
      <c r="BJ333" s="784"/>
      <c r="BK333" s="784"/>
      <c r="BL333" s="784"/>
      <c r="BM333" s="784"/>
      <c r="BN333" s="784"/>
      <c r="BO333" s="784"/>
      <c r="BP333" s="784"/>
      <c r="BQ333" s="784"/>
      <c r="BR333" s="784"/>
      <c r="BS333" s="784"/>
      <c r="BT333" s="784"/>
      <c r="BU333" s="784"/>
      <c r="BV333" s="784"/>
      <c r="BW333" s="784"/>
      <c r="BX333" s="784"/>
      <c r="BY333" s="784"/>
      <c r="BZ333" s="784"/>
    </row>
    <row r="334" spans="1:78" ht="14.25">
      <c r="A334" s="784"/>
      <c r="B334" s="784"/>
      <c r="C334" s="784"/>
      <c r="D334" s="784"/>
      <c r="E334" s="784"/>
      <c r="F334" s="784"/>
      <c r="G334" s="784"/>
      <c r="H334" s="784"/>
      <c r="I334" s="784"/>
      <c r="J334" s="784"/>
      <c r="K334" s="784"/>
      <c r="L334" s="784"/>
      <c r="M334" s="784"/>
      <c r="N334" s="784"/>
      <c r="O334" s="784"/>
      <c r="P334" s="784"/>
      <c r="Q334" s="784"/>
      <c r="R334" s="784"/>
      <c r="S334" s="784"/>
      <c r="T334" s="785"/>
      <c r="U334" s="784"/>
      <c r="V334" s="784"/>
      <c r="W334" s="784"/>
      <c r="X334" s="784"/>
      <c r="Y334" s="784"/>
      <c r="Z334" s="784"/>
      <c r="AA334" s="784"/>
      <c r="AB334" s="784"/>
      <c r="AC334" s="784"/>
      <c r="AD334" s="784"/>
      <c r="AE334" s="784"/>
      <c r="AF334" s="784"/>
      <c r="AG334" s="784"/>
      <c r="AH334" s="784"/>
      <c r="AI334" s="784"/>
      <c r="AJ334" s="784"/>
      <c r="AK334" s="784"/>
      <c r="AL334" s="784"/>
      <c r="AM334" s="784"/>
      <c r="AN334" s="784"/>
      <c r="AO334" s="784"/>
      <c r="AP334" s="784"/>
      <c r="AQ334" s="784"/>
      <c r="AR334" s="784"/>
      <c r="AS334" s="784"/>
      <c r="AT334" s="784"/>
      <c r="AU334" s="784"/>
      <c r="AV334" s="784"/>
      <c r="AW334" s="784"/>
      <c r="AX334" s="784"/>
      <c r="AY334" s="784"/>
      <c r="AZ334" s="784"/>
      <c r="BA334" s="784"/>
      <c r="BB334" s="784"/>
      <c r="BC334" s="784"/>
      <c r="BD334" s="784"/>
      <c r="BE334" s="784"/>
      <c r="BF334" s="784"/>
      <c r="BG334" s="784"/>
      <c r="BH334" s="784"/>
      <c r="BI334" s="784"/>
      <c r="BJ334" s="784"/>
      <c r="BK334" s="784"/>
      <c r="BL334" s="784"/>
      <c r="BM334" s="784"/>
      <c r="BN334" s="784"/>
      <c r="BO334" s="784"/>
      <c r="BP334" s="784"/>
      <c r="BQ334" s="784"/>
      <c r="BR334" s="784"/>
      <c r="BS334" s="784"/>
      <c r="BT334" s="784"/>
      <c r="BU334" s="784"/>
      <c r="BV334" s="784"/>
      <c r="BW334" s="784"/>
      <c r="BX334" s="784"/>
      <c r="BY334" s="784"/>
      <c r="BZ334" s="784"/>
    </row>
    <row r="335" spans="1:78" ht="14.25">
      <c r="A335" s="784"/>
      <c r="B335" s="784"/>
      <c r="C335" s="784"/>
      <c r="D335" s="784"/>
      <c r="E335" s="784"/>
      <c r="F335" s="784"/>
      <c r="G335" s="784"/>
      <c r="H335" s="784"/>
      <c r="I335" s="784"/>
      <c r="J335" s="784"/>
      <c r="K335" s="784"/>
      <c r="L335" s="784"/>
      <c r="M335" s="784"/>
      <c r="N335" s="784"/>
      <c r="O335" s="784"/>
      <c r="P335" s="784"/>
      <c r="Q335" s="784"/>
      <c r="R335" s="784"/>
      <c r="S335" s="784"/>
      <c r="T335" s="785"/>
      <c r="U335" s="784"/>
      <c r="V335" s="784"/>
      <c r="W335" s="784"/>
      <c r="X335" s="784"/>
      <c r="Y335" s="784"/>
      <c r="Z335" s="784"/>
      <c r="AA335" s="784"/>
      <c r="AB335" s="784"/>
      <c r="AC335" s="784"/>
      <c r="AD335" s="784"/>
      <c r="AE335" s="784"/>
      <c r="AF335" s="784"/>
      <c r="AG335" s="784"/>
      <c r="AH335" s="784"/>
      <c r="AI335" s="784"/>
      <c r="AJ335" s="784"/>
      <c r="AK335" s="784"/>
      <c r="AL335" s="784"/>
      <c r="AM335" s="784"/>
      <c r="AN335" s="784"/>
      <c r="AO335" s="784"/>
      <c r="AP335" s="784"/>
      <c r="AQ335" s="784"/>
      <c r="AR335" s="784"/>
      <c r="AS335" s="784"/>
      <c r="AT335" s="784"/>
      <c r="AU335" s="784"/>
      <c r="AV335" s="784"/>
      <c r="AW335" s="784"/>
      <c r="AX335" s="784"/>
      <c r="AY335" s="784"/>
      <c r="AZ335" s="784"/>
      <c r="BA335" s="784"/>
      <c r="BB335" s="784"/>
      <c r="BC335" s="784"/>
      <c r="BD335" s="784"/>
      <c r="BE335" s="784"/>
      <c r="BF335" s="784"/>
      <c r="BG335" s="784"/>
      <c r="BH335" s="784"/>
      <c r="BI335" s="784"/>
      <c r="BJ335" s="784"/>
      <c r="BK335" s="784"/>
      <c r="BL335" s="784"/>
      <c r="BM335" s="784"/>
      <c r="BN335" s="784"/>
      <c r="BO335" s="784"/>
      <c r="BP335" s="784"/>
      <c r="BQ335" s="784"/>
      <c r="BR335" s="784"/>
      <c r="BS335" s="784"/>
      <c r="BT335" s="784"/>
      <c r="BU335" s="784"/>
      <c r="BV335" s="784"/>
      <c r="BW335" s="784"/>
      <c r="BX335" s="784"/>
      <c r="BY335" s="784"/>
      <c r="BZ335" s="784"/>
    </row>
    <row r="336" spans="1:78" ht="14.25">
      <c r="A336" s="784"/>
      <c r="B336" s="784"/>
      <c r="C336" s="784"/>
      <c r="D336" s="784"/>
      <c r="E336" s="784"/>
      <c r="F336" s="784"/>
      <c r="G336" s="784"/>
      <c r="H336" s="784"/>
      <c r="I336" s="784"/>
      <c r="J336" s="784"/>
      <c r="K336" s="784"/>
      <c r="L336" s="784"/>
      <c r="M336" s="784"/>
      <c r="N336" s="784"/>
      <c r="O336" s="784"/>
      <c r="P336" s="784"/>
      <c r="Q336" s="784"/>
      <c r="R336" s="784"/>
      <c r="S336" s="784"/>
      <c r="T336" s="785"/>
      <c r="U336" s="784"/>
      <c r="V336" s="784"/>
      <c r="W336" s="784"/>
      <c r="X336" s="784"/>
      <c r="Y336" s="784"/>
      <c r="Z336" s="784"/>
      <c r="AA336" s="784"/>
      <c r="AB336" s="784"/>
      <c r="AC336" s="784"/>
      <c r="AD336" s="784"/>
      <c r="AE336" s="784"/>
      <c r="AF336" s="784"/>
      <c r="AG336" s="784"/>
      <c r="AH336" s="784"/>
      <c r="AI336" s="784"/>
      <c r="AJ336" s="784"/>
      <c r="AK336" s="784"/>
      <c r="AL336" s="784"/>
      <c r="AM336" s="784"/>
      <c r="AN336" s="784"/>
      <c r="AO336" s="784"/>
      <c r="AP336" s="784"/>
      <c r="AQ336" s="784"/>
      <c r="AR336" s="784"/>
      <c r="AS336" s="784"/>
      <c r="AT336" s="784"/>
      <c r="AU336" s="784"/>
      <c r="AV336" s="784"/>
      <c r="AW336" s="784"/>
      <c r="AX336" s="784"/>
      <c r="AY336" s="784"/>
      <c r="AZ336" s="784"/>
      <c r="BA336" s="784"/>
      <c r="BB336" s="784"/>
      <c r="BC336" s="784"/>
      <c r="BD336" s="784"/>
      <c r="BE336" s="784"/>
      <c r="BF336" s="784"/>
      <c r="BG336" s="784"/>
      <c r="BH336" s="784"/>
      <c r="BI336" s="784"/>
      <c r="BJ336" s="784"/>
      <c r="BK336" s="784"/>
      <c r="BL336" s="784"/>
      <c r="BM336" s="784"/>
      <c r="BN336" s="784"/>
      <c r="BO336" s="784"/>
      <c r="BP336" s="784"/>
      <c r="BQ336" s="784"/>
      <c r="BR336" s="784"/>
      <c r="BS336" s="784"/>
      <c r="BT336" s="784"/>
      <c r="BU336" s="784"/>
      <c r="BV336" s="784"/>
      <c r="BW336" s="784"/>
      <c r="BX336" s="784"/>
      <c r="BY336" s="784"/>
      <c r="BZ336" s="784"/>
    </row>
    <row r="337" spans="1:78" ht="14.25">
      <c r="A337" s="784"/>
      <c r="B337" s="784"/>
      <c r="C337" s="784"/>
      <c r="D337" s="784"/>
      <c r="E337" s="784"/>
      <c r="F337" s="784"/>
      <c r="G337" s="784"/>
      <c r="H337" s="784"/>
      <c r="I337" s="784"/>
      <c r="J337" s="784"/>
      <c r="K337" s="784"/>
      <c r="L337" s="784"/>
      <c r="M337" s="784"/>
      <c r="N337" s="784"/>
      <c r="O337" s="784"/>
      <c r="P337" s="784"/>
      <c r="Q337" s="784"/>
      <c r="R337" s="784"/>
      <c r="S337" s="784"/>
      <c r="T337" s="785"/>
      <c r="U337" s="784"/>
      <c r="V337" s="784"/>
      <c r="W337" s="784"/>
      <c r="X337" s="784"/>
      <c r="Y337" s="784"/>
      <c r="Z337" s="784"/>
      <c r="AA337" s="784"/>
      <c r="AB337" s="784"/>
      <c r="AC337" s="784"/>
      <c r="AD337" s="784"/>
      <c r="AE337" s="784"/>
      <c r="AF337" s="784"/>
      <c r="AG337" s="784"/>
      <c r="AH337" s="784"/>
      <c r="AI337" s="784"/>
      <c r="AJ337" s="784"/>
      <c r="AK337" s="784"/>
      <c r="AL337" s="784"/>
      <c r="AM337" s="784"/>
      <c r="AN337" s="784"/>
      <c r="AO337" s="784"/>
      <c r="AP337" s="784"/>
      <c r="AQ337" s="784"/>
      <c r="AR337" s="784"/>
      <c r="AS337" s="784"/>
      <c r="AT337" s="784"/>
      <c r="AU337" s="784"/>
      <c r="AV337" s="784"/>
      <c r="AW337" s="784"/>
      <c r="AX337" s="784"/>
      <c r="AY337" s="784"/>
      <c r="AZ337" s="784"/>
      <c r="BA337" s="784"/>
      <c r="BB337" s="784"/>
      <c r="BC337" s="784"/>
      <c r="BD337" s="784"/>
      <c r="BE337" s="784"/>
      <c r="BF337" s="784"/>
      <c r="BG337" s="784"/>
      <c r="BH337" s="784"/>
      <c r="BI337" s="784"/>
      <c r="BJ337" s="784"/>
      <c r="BK337" s="784"/>
      <c r="BL337" s="784"/>
      <c r="BM337" s="784"/>
      <c r="BN337" s="784"/>
      <c r="BO337" s="784"/>
      <c r="BP337" s="784"/>
      <c r="BQ337" s="784"/>
      <c r="BR337" s="784"/>
      <c r="BS337" s="784"/>
      <c r="BT337" s="784"/>
      <c r="BU337" s="784"/>
      <c r="BV337" s="784"/>
      <c r="BW337" s="784"/>
      <c r="BX337" s="784"/>
      <c r="BY337" s="784"/>
      <c r="BZ337" s="784"/>
    </row>
    <row r="338" spans="1:78" ht="14.25">
      <c r="A338" s="784"/>
      <c r="B338" s="784"/>
      <c r="C338" s="784"/>
      <c r="D338" s="784"/>
      <c r="E338" s="784"/>
      <c r="F338" s="784"/>
      <c r="G338" s="784"/>
      <c r="H338" s="784"/>
      <c r="I338" s="784"/>
      <c r="J338" s="784"/>
      <c r="K338" s="784"/>
      <c r="L338" s="784"/>
      <c r="M338" s="784"/>
      <c r="N338" s="784"/>
      <c r="O338" s="784"/>
      <c r="P338" s="784"/>
      <c r="Q338" s="784"/>
      <c r="R338" s="784"/>
      <c r="S338" s="784"/>
      <c r="T338" s="785"/>
      <c r="U338" s="784"/>
      <c r="V338" s="784"/>
      <c r="W338" s="784"/>
      <c r="X338" s="784"/>
      <c r="Y338" s="784"/>
      <c r="Z338" s="784"/>
      <c r="AA338" s="784"/>
      <c r="AB338" s="784"/>
      <c r="AC338" s="784"/>
      <c r="AD338" s="784"/>
      <c r="AE338" s="784"/>
      <c r="AF338" s="784"/>
      <c r="AG338" s="784"/>
      <c r="AH338" s="784"/>
      <c r="AI338" s="784"/>
      <c r="AJ338" s="784"/>
      <c r="AK338" s="784"/>
      <c r="AL338" s="784"/>
      <c r="AM338" s="784"/>
      <c r="AN338" s="784"/>
      <c r="AO338" s="784"/>
      <c r="AP338" s="784"/>
      <c r="AQ338" s="784"/>
      <c r="AR338" s="784"/>
      <c r="AS338" s="784"/>
      <c r="AT338" s="784"/>
      <c r="AU338" s="784"/>
      <c r="AV338" s="784"/>
      <c r="AW338" s="784"/>
      <c r="AX338" s="784"/>
      <c r="AY338" s="784"/>
      <c r="AZ338" s="784"/>
      <c r="BA338" s="784"/>
      <c r="BB338" s="784"/>
      <c r="BC338" s="784"/>
      <c r="BD338" s="784"/>
      <c r="BE338" s="784"/>
      <c r="BF338" s="784"/>
      <c r="BG338" s="784"/>
      <c r="BH338" s="784"/>
      <c r="BI338" s="784"/>
      <c r="BJ338" s="784"/>
      <c r="BK338" s="784"/>
      <c r="BL338" s="784"/>
      <c r="BM338" s="784"/>
      <c r="BN338" s="784"/>
      <c r="BO338" s="784"/>
      <c r="BP338" s="784"/>
      <c r="BQ338" s="784"/>
      <c r="BR338" s="784"/>
      <c r="BS338" s="784"/>
      <c r="BT338" s="784"/>
      <c r="BU338" s="784"/>
      <c r="BV338" s="784"/>
      <c r="BW338" s="784"/>
      <c r="BX338" s="784"/>
      <c r="BY338" s="784"/>
      <c r="BZ338" s="784"/>
    </row>
    <row r="339" spans="1:78" ht="14.25">
      <c r="A339" s="784"/>
      <c r="B339" s="784"/>
      <c r="C339" s="784"/>
      <c r="D339" s="784"/>
      <c r="E339" s="784"/>
      <c r="F339" s="784"/>
      <c r="G339" s="784"/>
      <c r="H339" s="784"/>
      <c r="I339" s="784"/>
      <c r="J339" s="784"/>
      <c r="K339" s="784"/>
      <c r="L339" s="784"/>
      <c r="M339" s="784"/>
      <c r="N339" s="784"/>
      <c r="O339" s="784"/>
      <c r="P339" s="784"/>
      <c r="Q339" s="784"/>
      <c r="R339" s="784"/>
      <c r="S339" s="784"/>
      <c r="T339" s="785"/>
      <c r="U339" s="784"/>
      <c r="V339" s="784"/>
      <c r="W339" s="784"/>
      <c r="X339" s="784"/>
      <c r="Y339" s="784"/>
      <c r="Z339" s="784"/>
      <c r="AA339" s="784"/>
      <c r="AB339" s="784"/>
      <c r="AC339" s="784"/>
      <c r="AD339" s="784"/>
      <c r="AE339" s="784"/>
      <c r="AF339" s="784"/>
      <c r="AG339" s="784"/>
      <c r="AH339" s="784"/>
      <c r="AI339" s="784"/>
      <c r="AJ339" s="784"/>
      <c r="AK339" s="784"/>
      <c r="AL339" s="784"/>
      <c r="AM339" s="784"/>
      <c r="AN339" s="784"/>
      <c r="AO339" s="784"/>
      <c r="AP339" s="784"/>
      <c r="AQ339" s="784"/>
      <c r="AR339" s="784"/>
      <c r="AS339" s="784"/>
      <c r="AT339" s="784"/>
      <c r="AU339" s="784"/>
      <c r="AV339" s="784"/>
      <c r="AW339" s="784"/>
      <c r="AX339" s="784"/>
      <c r="AY339" s="784"/>
      <c r="AZ339" s="784"/>
      <c r="BA339" s="784"/>
      <c r="BB339" s="784"/>
      <c r="BC339" s="784"/>
      <c r="BD339" s="784"/>
      <c r="BE339" s="784"/>
      <c r="BF339" s="784"/>
      <c r="BG339" s="784"/>
      <c r="BH339" s="784"/>
      <c r="BI339" s="784"/>
      <c r="BJ339" s="784"/>
      <c r="BK339" s="784"/>
      <c r="BL339" s="784"/>
      <c r="BM339" s="784"/>
      <c r="BN339" s="784"/>
      <c r="BO339" s="784"/>
      <c r="BP339" s="784"/>
      <c r="BQ339" s="784"/>
      <c r="BR339" s="784"/>
      <c r="BS339" s="784"/>
      <c r="BT339" s="784"/>
      <c r="BU339" s="784"/>
      <c r="BV339" s="784"/>
      <c r="BW339" s="784"/>
      <c r="BX339" s="784"/>
      <c r="BY339" s="784"/>
      <c r="BZ339" s="784"/>
    </row>
    <row r="340" spans="1:78" ht="14.25">
      <c r="A340" s="784"/>
      <c r="B340" s="784"/>
      <c r="C340" s="784"/>
      <c r="D340" s="784"/>
      <c r="E340" s="784"/>
      <c r="F340" s="784"/>
      <c r="G340" s="784"/>
      <c r="H340" s="784"/>
      <c r="I340" s="784"/>
      <c r="J340" s="784"/>
      <c r="K340" s="784"/>
      <c r="L340" s="784"/>
      <c r="M340" s="784"/>
      <c r="N340" s="784"/>
      <c r="O340" s="784"/>
      <c r="P340" s="784"/>
      <c r="Q340" s="784"/>
      <c r="R340" s="784"/>
      <c r="S340" s="784"/>
      <c r="T340" s="785"/>
      <c r="U340" s="784"/>
      <c r="V340" s="784"/>
      <c r="W340" s="784"/>
      <c r="X340" s="784"/>
      <c r="Y340" s="784"/>
      <c r="Z340" s="784"/>
      <c r="AA340" s="784"/>
      <c r="AB340" s="784"/>
      <c r="AC340" s="784"/>
      <c r="AD340" s="784"/>
      <c r="AE340" s="784"/>
      <c r="AF340" s="784"/>
      <c r="AG340" s="784"/>
      <c r="AH340" s="784"/>
      <c r="AI340" s="784"/>
      <c r="AJ340" s="784"/>
      <c r="AK340" s="784"/>
      <c r="AL340" s="784"/>
      <c r="AM340" s="784"/>
      <c r="AN340" s="784"/>
      <c r="AO340" s="784"/>
      <c r="AP340" s="784"/>
      <c r="AQ340" s="784"/>
      <c r="AR340" s="784"/>
      <c r="AS340" s="784"/>
      <c r="AT340" s="784"/>
      <c r="AU340" s="784"/>
      <c r="AV340" s="784"/>
      <c r="AW340" s="784"/>
      <c r="AX340" s="784"/>
      <c r="AY340" s="784"/>
      <c r="AZ340" s="784"/>
      <c r="BA340" s="784"/>
      <c r="BB340" s="784"/>
      <c r="BC340" s="784"/>
      <c r="BD340" s="784"/>
      <c r="BE340" s="784"/>
      <c r="BF340" s="784"/>
      <c r="BG340" s="784"/>
      <c r="BH340" s="784"/>
      <c r="BI340" s="784"/>
      <c r="BJ340" s="784"/>
      <c r="BK340" s="784"/>
      <c r="BL340" s="784"/>
      <c r="BM340" s="784"/>
      <c r="BN340" s="784"/>
      <c r="BO340" s="784"/>
      <c r="BP340" s="784"/>
      <c r="BQ340" s="784"/>
      <c r="BR340" s="784"/>
      <c r="BS340" s="784"/>
      <c r="BT340" s="784"/>
      <c r="BU340" s="784"/>
      <c r="BV340" s="784"/>
      <c r="BW340" s="784"/>
      <c r="BX340" s="784"/>
      <c r="BY340" s="784"/>
      <c r="BZ340" s="784"/>
    </row>
    <row r="341" spans="1:78" ht="14.25">
      <c r="A341" s="784"/>
      <c r="B341" s="784"/>
      <c r="C341" s="784"/>
      <c r="D341" s="784"/>
      <c r="E341" s="784"/>
      <c r="F341" s="784"/>
      <c r="G341" s="784"/>
      <c r="H341" s="784"/>
      <c r="I341" s="784"/>
      <c r="J341" s="784"/>
      <c r="K341" s="784"/>
      <c r="L341" s="784"/>
      <c r="M341" s="784"/>
      <c r="N341" s="784"/>
      <c r="O341" s="784"/>
      <c r="P341" s="784"/>
      <c r="Q341" s="784"/>
      <c r="R341" s="784"/>
      <c r="S341" s="784"/>
      <c r="T341" s="785"/>
      <c r="U341" s="784"/>
      <c r="V341" s="784"/>
      <c r="W341" s="784"/>
      <c r="X341" s="784"/>
      <c r="Y341" s="784"/>
      <c r="Z341" s="784"/>
      <c r="AA341" s="784"/>
      <c r="AB341" s="784"/>
      <c r="AC341" s="784"/>
      <c r="AD341" s="784"/>
      <c r="AE341" s="784"/>
      <c r="AF341" s="784"/>
      <c r="AG341" s="784"/>
      <c r="AH341" s="784"/>
      <c r="AI341" s="784"/>
      <c r="AJ341" s="784"/>
      <c r="AK341" s="784"/>
      <c r="AL341" s="784"/>
      <c r="AM341" s="784"/>
      <c r="AN341" s="784"/>
      <c r="AO341" s="784"/>
      <c r="AP341" s="784"/>
      <c r="AQ341" s="784"/>
      <c r="AR341" s="784"/>
      <c r="AS341" s="784"/>
      <c r="AT341" s="784"/>
      <c r="AU341" s="784"/>
      <c r="AV341" s="784"/>
      <c r="AW341" s="784"/>
      <c r="AX341" s="784"/>
      <c r="AY341" s="784"/>
      <c r="AZ341" s="784"/>
      <c r="BA341" s="784"/>
      <c r="BB341" s="784"/>
      <c r="BC341" s="784"/>
      <c r="BD341" s="784"/>
      <c r="BE341" s="784"/>
      <c r="BF341" s="784"/>
      <c r="BG341" s="784"/>
      <c r="BH341" s="784"/>
      <c r="BI341" s="784"/>
      <c r="BJ341" s="784"/>
      <c r="BK341" s="784"/>
      <c r="BL341" s="784"/>
      <c r="BM341" s="784"/>
      <c r="BN341" s="784"/>
      <c r="BO341" s="784"/>
      <c r="BP341" s="784"/>
      <c r="BQ341" s="784"/>
      <c r="BR341" s="784"/>
      <c r="BS341" s="784"/>
      <c r="BT341" s="784"/>
      <c r="BU341" s="784"/>
      <c r="BV341" s="784"/>
      <c r="BW341" s="784"/>
      <c r="BX341" s="784"/>
      <c r="BY341" s="784"/>
      <c r="BZ341" s="784"/>
    </row>
    <row r="342" spans="1:78" ht="14.25">
      <c r="A342" s="784"/>
      <c r="B342" s="784"/>
      <c r="C342" s="784"/>
      <c r="D342" s="784"/>
      <c r="E342" s="784"/>
      <c r="F342" s="784"/>
      <c r="G342" s="784"/>
      <c r="H342" s="784"/>
      <c r="I342" s="784"/>
      <c r="J342" s="784"/>
      <c r="K342" s="784"/>
      <c r="L342" s="784"/>
      <c r="M342" s="784"/>
      <c r="N342" s="784"/>
      <c r="O342" s="784"/>
      <c r="P342" s="784"/>
      <c r="Q342" s="784"/>
      <c r="R342" s="784"/>
      <c r="S342" s="784"/>
      <c r="T342" s="785"/>
      <c r="U342" s="784"/>
      <c r="V342" s="784"/>
      <c r="W342" s="784"/>
      <c r="X342" s="784"/>
      <c r="Y342" s="784"/>
      <c r="Z342" s="784"/>
      <c r="AA342" s="784"/>
      <c r="AB342" s="784"/>
      <c r="AC342" s="784"/>
      <c r="AD342" s="784"/>
      <c r="AE342" s="784"/>
      <c r="AF342" s="784"/>
      <c r="AG342" s="784"/>
      <c r="AH342" s="784"/>
      <c r="AI342" s="784"/>
      <c r="AJ342" s="784"/>
      <c r="AK342" s="784"/>
      <c r="AL342" s="784"/>
      <c r="AM342" s="784"/>
      <c r="AN342" s="784"/>
      <c r="AO342" s="784"/>
      <c r="AP342" s="784"/>
      <c r="AQ342" s="784"/>
      <c r="AR342" s="784"/>
      <c r="AS342" s="784"/>
      <c r="AT342" s="784"/>
      <c r="AU342" s="784"/>
      <c r="AV342" s="784"/>
      <c r="AW342" s="784"/>
      <c r="AX342" s="784"/>
      <c r="AY342" s="784"/>
      <c r="AZ342" s="784"/>
      <c r="BA342" s="784"/>
      <c r="BB342" s="784"/>
      <c r="BC342" s="784"/>
      <c r="BD342" s="784"/>
      <c r="BE342" s="784"/>
      <c r="BF342" s="784"/>
      <c r="BG342" s="784"/>
      <c r="BH342" s="784"/>
      <c r="BI342" s="784"/>
      <c r="BJ342" s="784"/>
      <c r="BK342" s="784"/>
      <c r="BL342" s="784"/>
      <c r="BM342" s="784"/>
      <c r="BN342" s="784"/>
      <c r="BO342" s="784"/>
      <c r="BP342" s="784"/>
      <c r="BQ342" s="784"/>
      <c r="BR342" s="784"/>
      <c r="BS342" s="784"/>
      <c r="BT342" s="784"/>
      <c r="BU342" s="784"/>
      <c r="BV342" s="784"/>
      <c r="BW342" s="784"/>
      <c r="BX342" s="784"/>
      <c r="BY342" s="784"/>
      <c r="BZ342" s="784"/>
    </row>
    <row r="343" spans="1:78" ht="14.25">
      <c r="A343" s="784"/>
      <c r="B343" s="784"/>
      <c r="C343" s="784"/>
      <c r="D343" s="784"/>
      <c r="E343" s="784"/>
      <c r="F343" s="784"/>
      <c r="G343" s="784"/>
      <c r="H343" s="784"/>
      <c r="I343" s="784"/>
      <c r="J343" s="784"/>
      <c r="K343" s="784"/>
      <c r="L343" s="784"/>
      <c r="M343" s="784"/>
      <c r="N343" s="784"/>
      <c r="O343" s="784"/>
      <c r="P343" s="784"/>
      <c r="Q343" s="784"/>
      <c r="R343" s="784"/>
      <c r="S343" s="784"/>
      <c r="T343" s="785"/>
      <c r="U343" s="784"/>
      <c r="V343" s="784"/>
      <c r="W343" s="784"/>
      <c r="X343" s="784"/>
      <c r="Y343" s="784"/>
      <c r="Z343" s="784"/>
      <c r="AA343" s="784"/>
      <c r="AB343" s="784"/>
      <c r="AC343" s="784"/>
      <c r="AD343" s="784"/>
      <c r="AE343" s="784"/>
      <c r="AF343" s="784"/>
      <c r="AG343" s="784"/>
      <c r="AH343" s="784"/>
      <c r="AI343" s="784"/>
      <c r="AJ343" s="784"/>
      <c r="AK343" s="784"/>
      <c r="AL343" s="784"/>
      <c r="AM343" s="784"/>
      <c r="AN343" s="784"/>
      <c r="AO343" s="784"/>
      <c r="AP343" s="784"/>
      <c r="AQ343" s="784"/>
      <c r="AR343" s="784"/>
      <c r="AS343" s="784"/>
      <c r="AT343" s="784"/>
      <c r="AU343" s="784"/>
      <c r="AV343" s="784"/>
      <c r="AW343" s="784"/>
      <c r="AX343" s="784"/>
      <c r="AY343" s="784"/>
      <c r="AZ343" s="784"/>
      <c r="BA343" s="784"/>
      <c r="BB343" s="784"/>
      <c r="BC343" s="784"/>
      <c r="BD343" s="784"/>
      <c r="BE343" s="784"/>
      <c r="BF343" s="784"/>
      <c r="BG343" s="784"/>
      <c r="BH343" s="784"/>
      <c r="BI343" s="784"/>
      <c r="BJ343" s="784"/>
      <c r="BK343" s="784"/>
      <c r="BL343" s="784"/>
      <c r="BM343" s="784"/>
      <c r="BN343" s="784"/>
      <c r="BO343" s="784"/>
      <c r="BP343" s="784"/>
      <c r="BQ343" s="784"/>
      <c r="BR343" s="784"/>
      <c r="BS343" s="784"/>
      <c r="BT343" s="784"/>
      <c r="BU343" s="784"/>
      <c r="BV343" s="784"/>
      <c r="BW343" s="784"/>
      <c r="BX343" s="784"/>
      <c r="BY343" s="784"/>
      <c r="BZ343" s="784"/>
    </row>
    <row r="344" spans="1:78" ht="14.25">
      <c r="A344" s="784"/>
      <c r="B344" s="784"/>
      <c r="C344" s="784"/>
      <c r="D344" s="784"/>
      <c r="E344" s="784"/>
      <c r="F344" s="784"/>
      <c r="G344" s="784"/>
      <c r="H344" s="784"/>
      <c r="I344" s="784"/>
      <c r="J344" s="784"/>
      <c r="K344" s="784"/>
      <c r="L344" s="784"/>
      <c r="M344" s="784"/>
      <c r="N344" s="784"/>
      <c r="O344" s="784"/>
      <c r="P344" s="784"/>
      <c r="Q344" s="784"/>
      <c r="R344" s="784"/>
      <c r="S344" s="784"/>
      <c r="T344" s="785"/>
      <c r="U344" s="784"/>
      <c r="V344" s="784"/>
      <c r="W344" s="784"/>
      <c r="X344" s="784"/>
      <c r="Y344" s="784"/>
      <c r="Z344" s="784"/>
      <c r="AA344" s="784"/>
      <c r="AB344" s="784"/>
      <c r="AC344" s="784"/>
      <c r="AD344" s="784"/>
      <c r="AE344" s="784"/>
      <c r="AF344" s="784"/>
      <c r="AG344" s="784"/>
      <c r="AH344" s="784"/>
      <c r="AI344" s="784"/>
      <c r="AJ344" s="784"/>
      <c r="AK344" s="784"/>
      <c r="AL344" s="784"/>
      <c r="AM344" s="784"/>
      <c r="AN344" s="784"/>
      <c r="AO344" s="784"/>
      <c r="AP344" s="784"/>
      <c r="AQ344" s="784"/>
      <c r="AR344" s="784"/>
      <c r="AS344" s="784"/>
      <c r="AT344" s="784"/>
      <c r="AU344" s="784"/>
      <c r="AV344" s="784"/>
      <c r="AW344" s="784"/>
      <c r="AX344" s="784"/>
      <c r="AY344" s="784"/>
      <c r="AZ344" s="784"/>
      <c r="BA344" s="784"/>
      <c r="BB344" s="784"/>
      <c r="BC344" s="784"/>
      <c r="BD344" s="784"/>
      <c r="BE344" s="784"/>
      <c r="BF344" s="784"/>
      <c r="BG344" s="784"/>
      <c r="BH344" s="784"/>
      <c r="BI344" s="784"/>
      <c r="BJ344" s="784"/>
      <c r="BK344" s="784"/>
      <c r="BL344" s="784"/>
      <c r="BM344" s="784"/>
      <c r="BN344" s="784"/>
      <c r="BO344" s="784"/>
      <c r="BP344" s="784"/>
      <c r="BQ344" s="784"/>
      <c r="BR344" s="784"/>
      <c r="BS344" s="784"/>
      <c r="BT344" s="784"/>
      <c r="BU344" s="784"/>
      <c r="BV344" s="784"/>
      <c r="BW344" s="784"/>
      <c r="BX344" s="784"/>
      <c r="BY344" s="784"/>
      <c r="BZ344" s="784"/>
    </row>
    <row r="345" spans="1:78" ht="14.25">
      <c r="A345" s="784"/>
      <c r="B345" s="784"/>
      <c r="C345" s="784"/>
      <c r="D345" s="784"/>
      <c r="E345" s="784"/>
      <c r="F345" s="784"/>
      <c r="G345" s="784"/>
      <c r="H345" s="784"/>
      <c r="I345" s="784"/>
      <c r="J345" s="784"/>
      <c r="K345" s="784"/>
      <c r="L345" s="784"/>
      <c r="M345" s="784"/>
      <c r="N345" s="784"/>
      <c r="O345" s="784"/>
      <c r="P345" s="784"/>
      <c r="Q345" s="784"/>
      <c r="R345" s="784"/>
      <c r="S345" s="784"/>
      <c r="T345" s="785"/>
      <c r="U345" s="784"/>
      <c r="V345" s="784"/>
      <c r="W345" s="784"/>
      <c r="X345" s="784"/>
      <c r="Y345" s="784"/>
      <c r="Z345" s="784"/>
      <c r="AA345" s="784"/>
      <c r="AB345" s="784"/>
      <c r="AC345" s="784"/>
      <c r="AD345" s="784"/>
      <c r="AE345" s="784"/>
      <c r="AF345" s="784"/>
      <c r="AG345" s="784"/>
      <c r="AH345" s="784"/>
      <c r="AI345" s="784"/>
      <c r="AJ345" s="784"/>
      <c r="AK345" s="784"/>
      <c r="AL345" s="784"/>
      <c r="AM345" s="784"/>
      <c r="AN345" s="784"/>
      <c r="AO345" s="784"/>
      <c r="AP345" s="784"/>
      <c r="AQ345" s="784"/>
      <c r="AR345" s="784"/>
      <c r="AS345" s="784"/>
      <c r="AT345" s="784"/>
      <c r="AU345" s="784"/>
      <c r="AV345" s="784"/>
      <c r="AW345" s="784"/>
      <c r="AX345" s="784"/>
      <c r="AY345" s="784"/>
      <c r="AZ345" s="784"/>
      <c r="BA345" s="784"/>
      <c r="BB345" s="784"/>
      <c r="BC345" s="784"/>
      <c r="BD345" s="784"/>
      <c r="BE345" s="784"/>
      <c r="BF345" s="784"/>
      <c r="BG345" s="784"/>
      <c r="BH345" s="784"/>
      <c r="BI345" s="784"/>
      <c r="BJ345" s="784"/>
      <c r="BK345" s="784"/>
      <c r="BL345" s="784"/>
      <c r="BM345" s="784"/>
      <c r="BN345" s="784"/>
      <c r="BO345" s="784"/>
      <c r="BP345" s="784"/>
      <c r="BQ345" s="784"/>
      <c r="BR345" s="784"/>
      <c r="BS345" s="784"/>
      <c r="BT345" s="784"/>
      <c r="BU345" s="784"/>
      <c r="BV345" s="784"/>
      <c r="BW345" s="784"/>
      <c r="BX345" s="784"/>
      <c r="BY345" s="784"/>
      <c r="BZ345" s="784"/>
    </row>
    <row r="346" spans="1:78" ht="14.25">
      <c r="A346" s="784"/>
      <c r="B346" s="784"/>
      <c r="C346" s="784"/>
      <c r="D346" s="784"/>
      <c r="E346" s="784"/>
      <c r="F346" s="784"/>
      <c r="G346" s="784"/>
      <c r="H346" s="784"/>
      <c r="I346" s="784"/>
      <c r="J346" s="784"/>
      <c r="K346" s="784"/>
      <c r="L346" s="784"/>
      <c r="M346" s="784"/>
      <c r="N346" s="784"/>
      <c r="O346" s="784"/>
      <c r="P346" s="784"/>
      <c r="Q346" s="784"/>
      <c r="R346" s="784"/>
      <c r="S346" s="784"/>
      <c r="T346" s="785"/>
      <c r="U346" s="784"/>
      <c r="V346" s="784"/>
      <c r="W346" s="784"/>
      <c r="X346" s="784"/>
      <c r="Y346" s="784"/>
      <c r="Z346" s="784"/>
      <c r="AA346" s="784"/>
      <c r="AB346" s="784"/>
      <c r="AC346" s="784"/>
      <c r="AD346" s="784"/>
      <c r="AE346" s="784"/>
      <c r="AF346" s="784"/>
      <c r="AG346" s="784"/>
      <c r="AH346" s="784"/>
      <c r="AI346" s="784"/>
      <c r="AJ346" s="784"/>
      <c r="AK346" s="784"/>
      <c r="AL346" s="784"/>
      <c r="AM346" s="784"/>
      <c r="AN346" s="784"/>
      <c r="AO346" s="784"/>
      <c r="AP346" s="784"/>
      <c r="AQ346" s="784"/>
      <c r="AR346" s="784"/>
      <c r="AS346" s="784"/>
      <c r="AT346" s="784"/>
      <c r="AU346" s="784"/>
      <c r="AV346" s="784"/>
      <c r="AW346" s="784"/>
      <c r="AX346" s="784"/>
      <c r="AY346" s="784"/>
      <c r="AZ346" s="784"/>
      <c r="BA346" s="784"/>
      <c r="BB346" s="784"/>
      <c r="BC346" s="784"/>
      <c r="BD346" s="784"/>
      <c r="BE346" s="784"/>
      <c r="BF346" s="784"/>
      <c r="BG346" s="784"/>
      <c r="BH346" s="784"/>
      <c r="BI346" s="784"/>
      <c r="BJ346" s="784"/>
      <c r="BK346" s="784"/>
      <c r="BL346" s="784"/>
      <c r="BM346" s="784"/>
      <c r="BN346" s="784"/>
      <c r="BO346" s="784"/>
      <c r="BP346" s="784"/>
      <c r="BQ346" s="784"/>
      <c r="BR346" s="784"/>
      <c r="BS346" s="784"/>
      <c r="BT346" s="784"/>
      <c r="BU346" s="784"/>
      <c r="BV346" s="784"/>
      <c r="BW346" s="784"/>
      <c r="BX346" s="784"/>
      <c r="BY346" s="784"/>
      <c r="BZ346" s="784"/>
    </row>
    <row r="347" spans="1:78" ht="14.25">
      <c r="A347" s="784"/>
      <c r="B347" s="784"/>
      <c r="C347" s="784"/>
      <c r="D347" s="784"/>
      <c r="E347" s="784"/>
      <c r="F347" s="784"/>
      <c r="G347" s="784"/>
      <c r="H347" s="784"/>
      <c r="I347" s="784"/>
      <c r="J347" s="784"/>
      <c r="K347" s="784"/>
      <c r="L347" s="784"/>
      <c r="M347" s="784"/>
      <c r="N347" s="784"/>
      <c r="O347" s="784"/>
      <c r="P347" s="784"/>
      <c r="Q347" s="784"/>
      <c r="R347" s="784"/>
      <c r="S347" s="784"/>
      <c r="T347" s="785"/>
      <c r="U347" s="784"/>
      <c r="V347" s="784"/>
      <c r="W347" s="784"/>
      <c r="X347" s="784"/>
      <c r="Y347" s="784"/>
      <c r="Z347" s="784"/>
      <c r="AA347" s="784"/>
      <c r="AB347" s="784"/>
      <c r="AC347" s="784"/>
      <c r="AD347" s="784"/>
      <c r="AE347" s="784"/>
      <c r="AF347" s="784"/>
      <c r="AG347" s="784"/>
      <c r="AH347" s="784"/>
      <c r="AI347" s="784"/>
      <c r="AJ347" s="784"/>
      <c r="AK347" s="784"/>
      <c r="AL347" s="784"/>
      <c r="AM347" s="784"/>
      <c r="AN347" s="784"/>
      <c r="AO347" s="784"/>
      <c r="AP347" s="784"/>
      <c r="AQ347" s="784"/>
      <c r="AR347" s="784"/>
      <c r="AS347" s="784"/>
      <c r="AT347" s="784"/>
      <c r="AU347" s="784"/>
      <c r="AV347" s="784"/>
      <c r="AW347" s="784"/>
      <c r="AX347" s="784"/>
      <c r="AY347" s="784"/>
      <c r="AZ347" s="784"/>
      <c r="BA347" s="784"/>
      <c r="BB347" s="784"/>
      <c r="BC347" s="784"/>
      <c r="BD347" s="784"/>
      <c r="BE347" s="784"/>
      <c r="BF347" s="784"/>
      <c r="BG347" s="784"/>
      <c r="BH347" s="784"/>
      <c r="BI347" s="784"/>
      <c r="BJ347" s="784"/>
      <c r="BK347" s="784"/>
      <c r="BL347" s="784"/>
      <c r="BM347" s="784"/>
      <c r="BN347" s="784"/>
      <c r="BO347" s="784"/>
      <c r="BP347" s="784"/>
      <c r="BQ347" s="784"/>
      <c r="BR347" s="784"/>
      <c r="BS347" s="784"/>
      <c r="BT347" s="784"/>
      <c r="BU347" s="784"/>
      <c r="BV347" s="784"/>
      <c r="BW347" s="784"/>
      <c r="BX347" s="784"/>
      <c r="BY347" s="784"/>
      <c r="BZ347" s="784"/>
    </row>
    <row r="348" spans="1:78" ht="14.25">
      <c r="A348" s="784"/>
      <c r="B348" s="784"/>
      <c r="C348" s="784"/>
      <c r="D348" s="784"/>
      <c r="E348" s="784"/>
      <c r="F348" s="784"/>
      <c r="G348" s="784"/>
      <c r="H348" s="784"/>
      <c r="I348" s="784"/>
      <c r="J348" s="784"/>
      <c r="K348" s="784"/>
      <c r="L348" s="784"/>
      <c r="M348" s="784"/>
      <c r="N348" s="784"/>
      <c r="O348" s="784"/>
      <c r="P348" s="784"/>
      <c r="Q348" s="784"/>
      <c r="R348" s="784"/>
      <c r="S348" s="784"/>
      <c r="T348" s="785"/>
      <c r="U348" s="784"/>
      <c r="V348" s="784"/>
      <c r="W348" s="784"/>
      <c r="X348" s="784"/>
      <c r="Y348" s="784"/>
      <c r="Z348" s="784"/>
      <c r="AA348" s="784"/>
      <c r="AB348" s="784"/>
      <c r="AC348" s="784"/>
      <c r="AD348" s="784"/>
      <c r="AE348" s="784"/>
      <c r="AF348" s="784"/>
      <c r="AG348" s="784"/>
      <c r="AH348" s="784"/>
      <c r="AI348" s="784"/>
      <c r="AJ348" s="784"/>
      <c r="AK348" s="784"/>
      <c r="AL348" s="784"/>
      <c r="AM348" s="784"/>
      <c r="AN348" s="784"/>
      <c r="AO348" s="784"/>
      <c r="AP348" s="784"/>
      <c r="AQ348" s="784"/>
      <c r="AR348" s="784"/>
      <c r="AS348" s="784"/>
      <c r="AT348" s="784"/>
      <c r="AU348" s="784"/>
      <c r="AV348" s="784"/>
      <c r="AW348" s="784"/>
      <c r="AX348" s="784"/>
      <c r="AY348" s="784"/>
      <c r="AZ348" s="784"/>
      <c r="BA348" s="784"/>
      <c r="BB348" s="784"/>
      <c r="BC348" s="784"/>
      <c r="BD348" s="784"/>
      <c r="BE348" s="784"/>
      <c r="BF348" s="784"/>
      <c r="BG348" s="784"/>
      <c r="BH348" s="784"/>
      <c r="BI348" s="784"/>
      <c r="BJ348" s="784"/>
      <c r="BK348" s="784"/>
      <c r="BL348" s="784"/>
      <c r="BM348" s="784"/>
      <c r="BN348" s="784"/>
      <c r="BO348" s="784"/>
      <c r="BP348" s="784"/>
      <c r="BQ348" s="784"/>
      <c r="BR348" s="784"/>
      <c r="BS348" s="784"/>
      <c r="BT348" s="784"/>
      <c r="BU348" s="784"/>
      <c r="BV348" s="784"/>
      <c r="BW348" s="784"/>
      <c r="BX348" s="784"/>
      <c r="BY348" s="784"/>
      <c r="BZ348" s="784"/>
    </row>
    <row r="349" spans="1:78" ht="14.25">
      <c r="A349" s="784"/>
      <c r="B349" s="784"/>
      <c r="C349" s="784"/>
      <c r="D349" s="784"/>
      <c r="E349" s="784"/>
      <c r="F349" s="784"/>
      <c r="G349" s="784"/>
      <c r="H349" s="784"/>
      <c r="I349" s="784"/>
      <c r="J349" s="784"/>
      <c r="K349" s="784"/>
      <c r="L349" s="784"/>
      <c r="M349" s="784"/>
      <c r="N349" s="784"/>
      <c r="O349" s="784"/>
      <c r="P349" s="784"/>
      <c r="Q349" s="784"/>
      <c r="R349" s="784"/>
      <c r="S349" s="784"/>
      <c r="T349" s="785"/>
      <c r="U349" s="784"/>
      <c r="V349" s="784"/>
      <c r="W349" s="784"/>
      <c r="X349" s="784"/>
      <c r="Y349" s="784"/>
      <c r="Z349" s="784"/>
      <c r="AA349" s="784"/>
      <c r="AB349" s="784"/>
      <c r="AC349" s="784"/>
      <c r="AD349" s="784"/>
      <c r="AE349" s="784"/>
      <c r="AF349" s="784"/>
      <c r="AG349" s="784"/>
      <c r="AH349" s="784"/>
      <c r="AI349" s="784"/>
      <c r="AJ349" s="784"/>
      <c r="AK349" s="784"/>
      <c r="AL349" s="784"/>
      <c r="AM349" s="784"/>
      <c r="AN349" s="784"/>
      <c r="AO349" s="784"/>
      <c r="AP349" s="784"/>
      <c r="AQ349" s="784"/>
      <c r="AR349" s="784"/>
      <c r="AS349" s="784"/>
      <c r="AT349" s="784"/>
      <c r="AU349" s="784"/>
      <c r="AV349" s="784"/>
      <c r="AW349" s="784"/>
      <c r="AX349" s="784"/>
      <c r="AY349" s="784"/>
      <c r="AZ349" s="784"/>
      <c r="BA349" s="784"/>
      <c r="BB349" s="784"/>
      <c r="BC349" s="784"/>
      <c r="BD349" s="784"/>
      <c r="BE349" s="784"/>
      <c r="BF349" s="784"/>
      <c r="BG349" s="784"/>
      <c r="BH349" s="784"/>
      <c r="BI349" s="784"/>
      <c r="BJ349" s="784"/>
      <c r="BK349" s="784"/>
      <c r="BL349" s="784"/>
      <c r="BM349" s="784"/>
      <c r="BN349" s="784"/>
      <c r="BO349" s="784"/>
      <c r="BP349" s="784"/>
      <c r="BQ349" s="784"/>
      <c r="BR349" s="784"/>
      <c r="BS349" s="784"/>
      <c r="BT349" s="784"/>
      <c r="BU349" s="784"/>
      <c r="BV349" s="784"/>
      <c r="BW349" s="784"/>
      <c r="BX349" s="784"/>
      <c r="BY349" s="784"/>
      <c r="BZ349" s="784"/>
    </row>
    <row r="350" spans="1:78" ht="14.25">
      <c r="A350" s="784"/>
      <c r="B350" s="784"/>
      <c r="C350" s="784"/>
      <c r="D350" s="784"/>
      <c r="E350" s="784"/>
      <c r="F350" s="784"/>
      <c r="G350" s="784"/>
      <c r="H350" s="784"/>
      <c r="I350" s="784"/>
      <c r="J350" s="784"/>
      <c r="K350" s="784"/>
      <c r="L350" s="784"/>
      <c r="M350" s="784"/>
      <c r="N350" s="784"/>
      <c r="O350" s="784"/>
      <c r="P350" s="784"/>
      <c r="Q350" s="784"/>
      <c r="R350" s="784"/>
      <c r="S350" s="784"/>
      <c r="T350" s="785"/>
      <c r="U350" s="784"/>
      <c r="V350" s="784"/>
      <c r="W350" s="784"/>
      <c r="X350" s="784"/>
      <c r="Y350" s="784"/>
      <c r="Z350" s="784"/>
      <c r="AA350" s="784"/>
      <c r="AB350" s="784"/>
      <c r="AC350" s="784"/>
      <c r="AD350" s="784"/>
      <c r="AE350" s="784"/>
      <c r="AF350" s="784"/>
      <c r="AG350" s="784"/>
      <c r="AH350" s="784"/>
      <c r="AI350" s="784"/>
      <c r="AJ350" s="784"/>
      <c r="AK350" s="784"/>
      <c r="AL350" s="784"/>
      <c r="AM350" s="784"/>
      <c r="AN350" s="784"/>
      <c r="AO350" s="784"/>
      <c r="AP350" s="784"/>
      <c r="AQ350" s="784"/>
      <c r="AR350" s="784"/>
      <c r="AS350" s="784"/>
      <c r="AT350" s="784"/>
      <c r="AU350" s="784"/>
      <c r="AV350" s="784"/>
      <c r="AW350" s="784"/>
      <c r="AX350" s="784"/>
      <c r="AY350" s="784"/>
      <c r="AZ350" s="784"/>
      <c r="BA350" s="784"/>
      <c r="BB350" s="784"/>
      <c r="BC350" s="784"/>
      <c r="BD350" s="784"/>
      <c r="BE350" s="784"/>
      <c r="BF350" s="784"/>
      <c r="BG350" s="784"/>
      <c r="BH350" s="784"/>
      <c r="BI350" s="784"/>
      <c r="BJ350" s="784"/>
      <c r="BK350" s="784"/>
      <c r="BL350" s="784"/>
      <c r="BM350" s="784"/>
      <c r="BN350" s="784"/>
      <c r="BO350" s="784"/>
      <c r="BP350" s="784"/>
      <c r="BQ350" s="784"/>
      <c r="BR350" s="784"/>
      <c r="BS350" s="784"/>
      <c r="BT350" s="784"/>
      <c r="BU350" s="784"/>
      <c r="BV350" s="784"/>
      <c r="BW350" s="784"/>
      <c r="BX350" s="784"/>
      <c r="BY350" s="784"/>
      <c r="BZ350" s="784"/>
    </row>
    <row r="351" spans="1:78" ht="14.25">
      <c r="A351" s="784"/>
      <c r="B351" s="784"/>
      <c r="C351" s="784"/>
      <c r="D351" s="784"/>
      <c r="E351" s="784"/>
      <c r="F351" s="784"/>
      <c r="G351" s="784"/>
      <c r="H351" s="784"/>
      <c r="I351" s="784"/>
      <c r="J351" s="784"/>
      <c r="K351" s="784"/>
      <c r="L351" s="784"/>
      <c r="M351" s="784"/>
      <c r="N351" s="784"/>
      <c r="O351" s="784"/>
      <c r="P351" s="784"/>
      <c r="Q351" s="784"/>
      <c r="R351" s="784"/>
      <c r="S351" s="784"/>
      <c r="T351" s="785"/>
      <c r="U351" s="784"/>
      <c r="V351" s="784"/>
      <c r="W351" s="784"/>
      <c r="X351" s="784"/>
      <c r="Y351" s="784"/>
      <c r="Z351" s="784"/>
      <c r="AA351" s="784"/>
      <c r="AB351" s="784"/>
      <c r="AC351" s="784"/>
      <c r="AD351" s="784"/>
      <c r="AE351" s="784"/>
      <c r="AF351" s="784"/>
      <c r="AG351" s="784"/>
      <c r="AH351" s="784"/>
      <c r="AI351" s="784"/>
      <c r="AJ351" s="784"/>
      <c r="AK351" s="784"/>
      <c r="AL351" s="784"/>
      <c r="AM351" s="784"/>
      <c r="AN351" s="784"/>
      <c r="AO351" s="784"/>
      <c r="AP351" s="784"/>
      <c r="AQ351" s="784"/>
      <c r="AR351" s="784"/>
      <c r="AS351" s="784"/>
      <c r="AT351" s="784"/>
      <c r="AU351" s="784"/>
      <c r="AV351" s="784"/>
      <c r="AW351" s="784"/>
      <c r="AX351" s="784"/>
      <c r="AY351" s="784"/>
      <c r="AZ351" s="784"/>
      <c r="BA351" s="784"/>
      <c r="BB351" s="784"/>
      <c r="BC351" s="784"/>
      <c r="BD351" s="784"/>
      <c r="BE351" s="784"/>
      <c r="BF351" s="784"/>
      <c r="BG351" s="784"/>
      <c r="BH351" s="784"/>
      <c r="BI351" s="784"/>
      <c r="BJ351" s="784"/>
      <c r="BK351" s="784"/>
      <c r="BL351" s="784"/>
      <c r="BM351" s="784"/>
      <c r="BN351" s="784"/>
      <c r="BO351" s="784"/>
      <c r="BP351" s="784"/>
      <c r="BQ351" s="784"/>
      <c r="BR351" s="784"/>
      <c r="BS351" s="784"/>
      <c r="BT351" s="784"/>
      <c r="BU351" s="784"/>
      <c r="BV351" s="784"/>
      <c r="BW351" s="784"/>
      <c r="BX351" s="784"/>
      <c r="BY351" s="784"/>
      <c r="BZ351" s="784"/>
    </row>
    <row r="352" spans="1:78" ht="14.25">
      <c r="A352" s="784"/>
      <c r="B352" s="784"/>
      <c r="C352" s="784"/>
      <c r="D352" s="784"/>
      <c r="E352" s="784"/>
      <c r="F352" s="784"/>
      <c r="G352" s="784"/>
      <c r="H352" s="784"/>
      <c r="I352" s="784"/>
      <c r="J352" s="784"/>
      <c r="K352" s="784"/>
      <c r="L352" s="784"/>
      <c r="M352" s="784"/>
      <c r="N352" s="784"/>
      <c r="O352" s="784"/>
      <c r="P352" s="784"/>
      <c r="Q352" s="784"/>
      <c r="R352" s="784"/>
      <c r="S352" s="784"/>
      <c r="T352" s="785"/>
      <c r="U352" s="784"/>
      <c r="V352" s="784"/>
      <c r="W352" s="784"/>
      <c r="X352" s="784"/>
      <c r="Y352" s="784"/>
      <c r="Z352" s="784"/>
      <c r="AA352" s="784"/>
      <c r="AB352" s="784"/>
      <c r="AC352" s="784"/>
      <c r="AD352" s="784"/>
      <c r="AE352" s="784"/>
      <c r="AF352" s="784"/>
      <c r="AG352" s="784"/>
      <c r="AH352" s="784"/>
      <c r="AI352" s="784"/>
      <c r="AJ352" s="784"/>
      <c r="AK352" s="784"/>
      <c r="AL352" s="784"/>
      <c r="AM352" s="784"/>
      <c r="AN352" s="784"/>
      <c r="AO352" s="784"/>
      <c r="AP352" s="784"/>
      <c r="AQ352" s="784"/>
      <c r="AR352" s="784"/>
      <c r="AS352" s="784"/>
      <c r="AT352" s="784"/>
      <c r="AU352" s="784"/>
      <c r="AV352" s="784"/>
      <c r="AW352" s="784"/>
      <c r="AX352" s="784"/>
      <c r="AY352" s="784"/>
      <c r="AZ352" s="784"/>
      <c r="BA352" s="784"/>
      <c r="BB352" s="784"/>
      <c r="BC352" s="784"/>
      <c r="BD352" s="784"/>
      <c r="BE352" s="784"/>
      <c r="BF352" s="784"/>
      <c r="BG352" s="784"/>
      <c r="BH352" s="784"/>
      <c r="BI352" s="784"/>
      <c r="BJ352" s="784"/>
      <c r="BK352" s="784"/>
      <c r="BL352" s="784"/>
      <c r="BM352" s="784"/>
      <c r="BN352" s="784"/>
      <c r="BO352" s="784"/>
      <c r="BP352" s="784"/>
      <c r="BQ352" s="784"/>
      <c r="BR352" s="784"/>
      <c r="BS352" s="784"/>
      <c r="BT352" s="784"/>
      <c r="BU352" s="784"/>
      <c r="BV352" s="784"/>
      <c r="BW352" s="784"/>
      <c r="BX352" s="784"/>
      <c r="BY352" s="784"/>
      <c r="BZ352" s="784"/>
    </row>
    <row r="353" spans="1:78" ht="14.25">
      <c r="A353" s="784"/>
      <c r="B353" s="784"/>
      <c r="C353" s="784"/>
      <c r="D353" s="784"/>
      <c r="E353" s="784"/>
      <c r="F353" s="784"/>
      <c r="G353" s="784"/>
      <c r="H353" s="784"/>
      <c r="I353" s="784"/>
      <c r="J353" s="784"/>
      <c r="K353" s="784"/>
      <c r="L353" s="784"/>
      <c r="M353" s="784"/>
      <c r="N353" s="784"/>
      <c r="O353" s="784"/>
      <c r="P353" s="784"/>
      <c r="Q353" s="784"/>
      <c r="R353" s="784"/>
      <c r="S353" s="784"/>
      <c r="T353" s="785"/>
      <c r="U353" s="784"/>
      <c r="V353" s="784"/>
      <c r="W353" s="784"/>
      <c r="X353" s="784"/>
      <c r="Y353" s="784"/>
      <c r="Z353" s="784"/>
      <c r="AA353" s="784"/>
      <c r="AB353" s="784"/>
      <c r="AC353" s="784"/>
      <c r="AD353" s="784"/>
      <c r="AE353" s="784"/>
      <c r="AF353" s="784"/>
      <c r="AG353" s="784"/>
      <c r="AH353" s="784"/>
      <c r="AI353" s="784"/>
      <c r="AJ353" s="784"/>
      <c r="AK353" s="784"/>
      <c r="AL353" s="784"/>
      <c r="AM353" s="784"/>
      <c r="AN353" s="784"/>
      <c r="AO353" s="784"/>
      <c r="AP353" s="784"/>
      <c r="AQ353" s="784"/>
      <c r="AR353" s="784"/>
      <c r="AS353" s="784"/>
      <c r="AT353" s="784"/>
      <c r="AU353" s="784"/>
      <c r="AV353" s="784"/>
      <c r="AW353" s="784"/>
      <c r="AX353" s="784"/>
      <c r="AY353" s="784"/>
      <c r="AZ353" s="784"/>
      <c r="BA353" s="784"/>
      <c r="BB353" s="784"/>
      <c r="BC353" s="784"/>
      <c r="BD353" s="784"/>
      <c r="BE353" s="784"/>
      <c r="BF353" s="784"/>
      <c r="BG353" s="784"/>
      <c r="BH353" s="784"/>
      <c r="BI353" s="784"/>
      <c r="BJ353" s="784"/>
      <c r="BK353" s="784"/>
      <c r="BL353" s="784"/>
      <c r="BM353" s="784"/>
      <c r="BN353" s="784"/>
      <c r="BO353" s="784"/>
      <c r="BP353" s="784"/>
      <c r="BQ353" s="784"/>
      <c r="BR353" s="784"/>
      <c r="BS353" s="784"/>
      <c r="BT353" s="784"/>
      <c r="BU353" s="784"/>
      <c r="BV353" s="784"/>
      <c r="BW353" s="784"/>
      <c r="BX353" s="784"/>
      <c r="BY353" s="784"/>
      <c r="BZ353" s="784"/>
    </row>
    <row r="354" spans="1:78" ht="14.25">
      <c r="A354" s="784"/>
      <c r="B354" s="784"/>
      <c r="C354" s="784"/>
      <c r="D354" s="784"/>
      <c r="E354" s="784"/>
      <c r="F354" s="784"/>
      <c r="G354" s="784"/>
      <c r="H354" s="784"/>
      <c r="I354" s="784"/>
      <c r="J354" s="784"/>
      <c r="K354" s="784"/>
      <c r="L354" s="784"/>
      <c r="M354" s="784"/>
      <c r="N354" s="784"/>
      <c r="O354" s="784"/>
      <c r="P354" s="784"/>
      <c r="Q354" s="784"/>
      <c r="R354" s="784"/>
      <c r="S354" s="784"/>
      <c r="T354" s="785"/>
      <c r="U354" s="784"/>
      <c r="V354" s="784"/>
      <c r="W354" s="784"/>
      <c r="X354" s="784"/>
      <c r="Y354" s="784"/>
      <c r="Z354" s="784"/>
      <c r="AA354" s="784"/>
      <c r="AB354" s="784"/>
      <c r="AC354" s="784"/>
      <c r="AD354" s="784"/>
      <c r="AE354" s="784"/>
      <c r="AF354" s="784"/>
      <c r="AG354" s="784"/>
      <c r="AH354" s="784"/>
      <c r="AI354" s="784"/>
      <c r="AJ354" s="784"/>
      <c r="AK354" s="784"/>
      <c r="AL354" s="784"/>
      <c r="AM354" s="784"/>
      <c r="AN354" s="784"/>
      <c r="AO354" s="784"/>
      <c r="AP354" s="784"/>
      <c r="AQ354" s="784"/>
      <c r="AR354" s="784"/>
      <c r="AS354" s="784"/>
      <c r="AT354" s="784"/>
      <c r="AU354" s="784"/>
      <c r="AV354" s="784"/>
      <c r="AW354" s="784"/>
      <c r="AX354" s="784"/>
      <c r="AY354" s="784"/>
      <c r="AZ354" s="784"/>
      <c r="BA354" s="784"/>
      <c r="BB354" s="784"/>
      <c r="BC354" s="784"/>
      <c r="BD354" s="784"/>
      <c r="BE354" s="784"/>
      <c r="BF354" s="784"/>
      <c r="BG354" s="784"/>
      <c r="BH354" s="784"/>
      <c r="BI354" s="784"/>
      <c r="BJ354" s="784"/>
      <c r="BK354" s="784"/>
      <c r="BL354" s="784"/>
      <c r="BM354" s="784"/>
      <c r="BN354" s="784"/>
      <c r="BO354" s="784"/>
      <c r="BP354" s="784"/>
      <c r="BQ354" s="784"/>
      <c r="BR354" s="784"/>
      <c r="BS354" s="784"/>
      <c r="BT354" s="784"/>
      <c r="BU354" s="784"/>
      <c r="BV354" s="784"/>
      <c r="BW354" s="784"/>
      <c r="BX354" s="784"/>
      <c r="BY354" s="784"/>
      <c r="BZ354" s="784"/>
    </row>
    <row r="355" spans="1:78" ht="14.25">
      <c r="A355" s="784"/>
      <c r="B355" s="784"/>
      <c r="C355" s="784"/>
      <c r="D355" s="784"/>
      <c r="E355" s="784"/>
      <c r="F355" s="784"/>
      <c r="G355" s="784"/>
      <c r="H355" s="784"/>
      <c r="I355" s="784"/>
      <c r="J355" s="784"/>
      <c r="K355" s="784"/>
      <c r="L355" s="784"/>
      <c r="M355" s="784"/>
      <c r="N355" s="784"/>
      <c r="O355" s="784"/>
      <c r="P355" s="784"/>
      <c r="Q355" s="784"/>
      <c r="R355" s="784"/>
      <c r="S355" s="784"/>
      <c r="T355" s="785"/>
      <c r="U355" s="784"/>
      <c r="V355" s="784"/>
      <c r="W355" s="784"/>
      <c r="X355" s="784"/>
      <c r="Y355" s="784"/>
      <c r="Z355" s="784"/>
      <c r="AA355" s="784"/>
      <c r="AB355" s="784"/>
      <c r="AC355" s="784"/>
      <c r="AD355" s="784"/>
      <c r="AE355" s="784"/>
      <c r="AF355" s="784"/>
      <c r="AG355" s="784"/>
      <c r="AH355" s="784"/>
      <c r="AI355" s="784"/>
      <c r="AJ355" s="784"/>
      <c r="AK355" s="784"/>
      <c r="AL355" s="784"/>
      <c r="AM355" s="784"/>
      <c r="AN355" s="784"/>
      <c r="AO355" s="784"/>
      <c r="AP355" s="784"/>
      <c r="AQ355" s="784"/>
      <c r="AR355" s="784"/>
      <c r="AS355" s="784"/>
      <c r="AT355" s="784"/>
      <c r="AU355" s="784"/>
      <c r="AV355" s="784"/>
      <c r="AW355" s="784"/>
      <c r="AX355" s="784"/>
      <c r="AY355" s="784"/>
      <c r="AZ355" s="784"/>
      <c r="BA355" s="784"/>
      <c r="BB355" s="784"/>
      <c r="BC355" s="784"/>
      <c r="BD355" s="784"/>
      <c r="BE355" s="784"/>
      <c r="BF355" s="784"/>
      <c r="BG355" s="784"/>
      <c r="BH355" s="784"/>
      <c r="BI355" s="784"/>
      <c r="BJ355" s="784"/>
      <c r="BK355" s="784"/>
      <c r="BL355" s="784"/>
      <c r="BM355" s="784"/>
      <c r="BN355" s="784"/>
      <c r="BO355" s="784"/>
      <c r="BP355" s="784"/>
      <c r="BQ355" s="784"/>
      <c r="BR355" s="784"/>
      <c r="BS355" s="784"/>
      <c r="BT355" s="784"/>
      <c r="BU355" s="784"/>
      <c r="BV355" s="784"/>
      <c r="BW355" s="784"/>
      <c r="BX355" s="784"/>
      <c r="BY355" s="784"/>
      <c r="BZ355" s="784"/>
    </row>
    <row r="356" spans="1:78" ht="14.25">
      <c r="A356" s="784"/>
      <c r="B356" s="784"/>
      <c r="C356" s="784"/>
      <c r="D356" s="784"/>
      <c r="E356" s="784"/>
      <c r="F356" s="784"/>
      <c r="G356" s="784"/>
      <c r="H356" s="784"/>
      <c r="I356" s="784"/>
      <c r="J356" s="784"/>
      <c r="K356" s="784"/>
      <c r="L356" s="784"/>
      <c r="M356" s="784"/>
      <c r="N356" s="784"/>
      <c r="O356" s="784"/>
      <c r="P356" s="784"/>
      <c r="Q356" s="784"/>
      <c r="R356" s="784"/>
      <c r="S356" s="784"/>
      <c r="T356" s="785"/>
      <c r="U356" s="784"/>
      <c r="V356" s="784"/>
      <c r="W356" s="784"/>
      <c r="X356" s="784"/>
      <c r="Y356" s="784"/>
      <c r="Z356" s="784"/>
      <c r="AA356" s="784"/>
      <c r="AB356" s="784"/>
      <c r="AC356" s="784"/>
      <c r="AD356" s="784"/>
      <c r="AE356" s="784"/>
      <c r="AF356" s="784"/>
      <c r="AG356" s="784"/>
      <c r="AH356" s="784"/>
      <c r="AI356" s="784"/>
      <c r="AJ356" s="784"/>
      <c r="AK356" s="784"/>
      <c r="AL356" s="784"/>
      <c r="AM356" s="784"/>
      <c r="AN356" s="784"/>
      <c r="AO356" s="784"/>
      <c r="AP356" s="784"/>
      <c r="AQ356" s="784"/>
      <c r="AR356" s="784"/>
      <c r="AS356" s="784"/>
      <c r="AT356" s="784"/>
      <c r="AU356" s="784"/>
      <c r="AV356" s="784"/>
      <c r="AW356" s="784"/>
      <c r="AX356" s="784"/>
      <c r="AY356" s="784"/>
      <c r="AZ356" s="784"/>
      <c r="BA356" s="784"/>
      <c r="BB356" s="784"/>
      <c r="BC356" s="784"/>
      <c r="BD356" s="784"/>
      <c r="BE356" s="784"/>
      <c r="BF356" s="784"/>
      <c r="BG356" s="784"/>
      <c r="BH356" s="784"/>
      <c r="BI356" s="784"/>
      <c r="BJ356" s="784"/>
      <c r="BK356" s="784"/>
      <c r="BL356" s="784"/>
      <c r="BM356" s="784"/>
      <c r="BN356" s="784"/>
      <c r="BO356" s="784"/>
      <c r="BP356" s="784"/>
      <c r="BQ356" s="784"/>
      <c r="BR356" s="784"/>
      <c r="BS356" s="784"/>
      <c r="BT356" s="784"/>
      <c r="BU356" s="784"/>
      <c r="BV356" s="784"/>
      <c r="BW356" s="784"/>
      <c r="BX356" s="784"/>
      <c r="BY356" s="784"/>
      <c r="BZ356" s="784"/>
    </row>
    <row r="357" spans="1:78" ht="14.25">
      <c r="A357" s="784"/>
      <c r="B357" s="784"/>
      <c r="C357" s="784"/>
      <c r="D357" s="784"/>
      <c r="E357" s="784"/>
      <c r="F357" s="784"/>
      <c r="G357" s="784"/>
      <c r="H357" s="784"/>
      <c r="I357" s="784"/>
      <c r="J357" s="784"/>
      <c r="K357" s="784"/>
      <c r="L357" s="784"/>
      <c r="M357" s="784"/>
      <c r="N357" s="784"/>
      <c r="O357" s="784"/>
      <c r="P357" s="784"/>
      <c r="Q357" s="784"/>
      <c r="R357" s="784"/>
      <c r="S357" s="784"/>
      <c r="T357" s="785"/>
      <c r="U357" s="784"/>
      <c r="V357" s="784"/>
      <c r="W357" s="784"/>
      <c r="X357" s="784"/>
      <c r="Y357" s="784"/>
      <c r="Z357" s="784"/>
      <c r="AA357" s="784"/>
      <c r="AB357" s="784"/>
      <c r="AC357" s="784"/>
      <c r="AD357" s="784"/>
      <c r="AE357" s="784"/>
      <c r="AF357" s="784"/>
      <c r="AG357" s="784"/>
      <c r="AH357" s="784"/>
      <c r="AI357" s="784"/>
      <c r="AJ357" s="784"/>
      <c r="AK357" s="784"/>
      <c r="AL357" s="784"/>
      <c r="AM357" s="784"/>
      <c r="AN357" s="784"/>
      <c r="AO357" s="784"/>
      <c r="AP357" s="784"/>
      <c r="AQ357" s="784"/>
      <c r="AR357" s="784"/>
      <c r="AS357" s="784"/>
      <c r="AT357" s="784"/>
      <c r="AU357" s="784"/>
      <c r="AV357" s="784"/>
      <c r="AW357" s="784"/>
      <c r="AX357" s="784"/>
      <c r="AY357" s="784"/>
      <c r="AZ357" s="784"/>
      <c r="BA357" s="784"/>
      <c r="BB357" s="784"/>
      <c r="BC357" s="784"/>
      <c r="BD357" s="784"/>
      <c r="BE357" s="784"/>
      <c r="BF357" s="784"/>
      <c r="BG357" s="784"/>
      <c r="BH357" s="784"/>
      <c r="BI357" s="784"/>
      <c r="BJ357" s="784"/>
      <c r="BK357" s="784"/>
      <c r="BL357" s="784"/>
      <c r="BM357" s="784"/>
      <c r="BN357" s="784"/>
      <c r="BO357" s="784"/>
      <c r="BP357" s="784"/>
      <c r="BQ357" s="784"/>
      <c r="BR357" s="784"/>
      <c r="BS357" s="784"/>
      <c r="BT357" s="784"/>
      <c r="BU357" s="784"/>
      <c r="BV357" s="784"/>
      <c r="BW357" s="784"/>
      <c r="BX357" s="784"/>
      <c r="BY357" s="784"/>
      <c r="BZ357" s="784"/>
    </row>
    <row r="358" spans="1:78" ht="14.25">
      <c r="A358" s="784"/>
      <c r="B358" s="784"/>
      <c r="C358" s="784"/>
      <c r="D358" s="784"/>
      <c r="E358" s="784"/>
      <c r="F358" s="784"/>
      <c r="G358" s="784"/>
      <c r="H358" s="784"/>
      <c r="I358" s="784"/>
      <c r="J358" s="784"/>
      <c r="K358" s="784"/>
      <c r="L358" s="784"/>
      <c r="M358" s="784"/>
      <c r="N358" s="784"/>
      <c r="O358" s="784"/>
      <c r="P358" s="784"/>
      <c r="Q358" s="784"/>
      <c r="R358" s="784"/>
      <c r="S358" s="784"/>
      <c r="T358" s="785"/>
      <c r="U358" s="784"/>
      <c r="V358" s="784"/>
      <c r="W358" s="784"/>
      <c r="X358" s="784"/>
      <c r="Y358" s="784"/>
      <c r="Z358" s="784"/>
      <c r="AA358" s="784"/>
      <c r="AB358" s="784"/>
      <c r="AC358" s="784"/>
      <c r="AD358" s="784"/>
      <c r="AE358" s="784"/>
      <c r="AF358" s="784"/>
      <c r="AG358" s="784"/>
      <c r="AH358" s="784"/>
      <c r="AI358" s="784"/>
      <c r="AJ358" s="784"/>
      <c r="AK358" s="784"/>
      <c r="AL358" s="784"/>
      <c r="AM358" s="784"/>
      <c r="AN358" s="784"/>
      <c r="AO358" s="784"/>
      <c r="AP358" s="784"/>
      <c r="AQ358" s="784"/>
      <c r="AR358" s="784"/>
      <c r="AS358" s="784"/>
      <c r="AT358" s="784"/>
      <c r="AU358" s="784"/>
      <c r="AV358" s="784"/>
      <c r="AW358" s="784"/>
      <c r="AX358" s="784"/>
      <c r="AY358" s="784"/>
      <c r="AZ358" s="784"/>
      <c r="BA358" s="784"/>
      <c r="BB358" s="784"/>
      <c r="BC358" s="784"/>
      <c r="BD358" s="784"/>
      <c r="BE358" s="784"/>
      <c r="BF358" s="784"/>
      <c r="BG358" s="784"/>
      <c r="BH358" s="784"/>
      <c r="BI358" s="784"/>
      <c r="BJ358" s="784"/>
      <c r="BK358" s="784"/>
      <c r="BL358" s="784"/>
      <c r="BM358" s="784"/>
      <c r="BN358" s="784"/>
      <c r="BO358" s="784"/>
      <c r="BP358" s="784"/>
      <c r="BQ358" s="784"/>
      <c r="BR358" s="784"/>
      <c r="BS358" s="784"/>
      <c r="BT358" s="784"/>
      <c r="BU358" s="784"/>
      <c r="BV358" s="784"/>
      <c r="BW358" s="784"/>
      <c r="BX358" s="784"/>
      <c r="BY358" s="784"/>
      <c r="BZ358" s="784"/>
    </row>
    <row r="359" spans="1:78" ht="14.25">
      <c r="A359" s="784"/>
      <c r="B359" s="784"/>
      <c r="C359" s="784"/>
      <c r="D359" s="784"/>
      <c r="E359" s="784"/>
      <c r="F359" s="784"/>
      <c r="G359" s="784"/>
      <c r="H359" s="784"/>
      <c r="I359" s="784"/>
      <c r="J359" s="784"/>
      <c r="K359" s="784"/>
      <c r="L359" s="784"/>
      <c r="M359" s="784"/>
      <c r="N359" s="784"/>
      <c r="O359" s="784"/>
      <c r="P359" s="784"/>
      <c r="Q359" s="784"/>
      <c r="R359" s="784"/>
      <c r="S359" s="784"/>
      <c r="T359" s="785"/>
      <c r="U359" s="784"/>
      <c r="V359" s="784"/>
      <c r="W359" s="784"/>
      <c r="X359" s="784"/>
      <c r="Y359" s="784"/>
      <c r="Z359" s="784"/>
      <c r="AA359" s="784"/>
      <c r="AB359" s="784"/>
      <c r="AC359" s="784"/>
      <c r="AD359" s="784"/>
      <c r="AE359" s="784"/>
      <c r="AF359" s="784"/>
      <c r="AG359" s="784"/>
      <c r="AH359" s="784"/>
      <c r="AI359" s="784"/>
      <c r="AJ359" s="784"/>
      <c r="AK359" s="784"/>
      <c r="AL359" s="784"/>
      <c r="AM359" s="784"/>
      <c r="AN359" s="784"/>
      <c r="AO359" s="784"/>
      <c r="AP359" s="784"/>
      <c r="AQ359" s="784"/>
      <c r="AR359" s="784"/>
      <c r="AS359" s="784"/>
      <c r="AT359" s="784"/>
      <c r="AU359" s="784"/>
      <c r="AV359" s="784"/>
      <c r="AW359" s="784"/>
      <c r="AX359" s="784"/>
      <c r="AY359" s="784"/>
      <c r="AZ359" s="784"/>
      <c r="BA359" s="784"/>
      <c r="BB359" s="784"/>
      <c r="BC359" s="784"/>
      <c r="BD359" s="784"/>
      <c r="BE359" s="784"/>
      <c r="BF359" s="784"/>
      <c r="BG359" s="784"/>
      <c r="BH359" s="784"/>
      <c r="BI359" s="784"/>
      <c r="BJ359" s="784"/>
      <c r="BK359" s="784"/>
      <c r="BL359" s="784"/>
      <c r="BM359" s="784"/>
      <c r="BN359" s="784"/>
      <c r="BO359" s="784"/>
      <c r="BP359" s="784"/>
      <c r="BQ359" s="784"/>
      <c r="BR359" s="784"/>
      <c r="BS359" s="784"/>
      <c r="BT359" s="784"/>
      <c r="BU359" s="784"/>
      <c r="BV359" s="784"/>
      <c r="BW359" s="784"/>
      <c r="BX359" s="784"/>
      <c r="BY359" s="784"/>
      <c r="BZ359" s="784"/>
    </row>
    <row r="360" spans="1:78" ht="14.25">
      <c r="A360" s="784"/>
      <c r="B360" s="784"/>
      <c r="C360" s="784"/>
      <c r="D360" s="784"/>
      <c r="E360" s="784"/>
      <c r="F360" s="784"/>
      <c r="G360" s="784"/>
      <c r="H360" s="784"/>
      <c r="I360" s="784"/>
      <c r="J360" s="784"/>
      <c r="K360" s="784"/>
      <c r="L360" s="784"/>
      <c r="M360" s="784"/>
      <c r="N360" s="784"/>
      <c r="O360" s="784"/>
      <c r="P360" s="784"/>
      <c r="Q360" s="784"/>
      <c r="R360" s="784"/>
      <c r="S360" s="784"/>
      <c r="T360" s="785"/>
      <c r="U360" s="784"/>
      <c r="V360" s="784"/>
      <c r="W360" s="784"/>
      <c r="X360" s="784"/>
      <c r="Y360" s="784"/>
      <c r="Z360" s="784"/>
      <c r="AA360" s="784"/>
      <c r="AB360" s="784"/>
      <c r="AC360" s="784"/>
      <c r="AD360" s="784"/>
      <c r="AE360" s="784"/>
      <c r="AF360" s="784"/>
      <c r="AG360" s="784"/>
      <c r="AH360" s="784"/>
      <c r="AI360" s="784"/>
      <c r="AJ360" s="784"/>
      <c r="AK360" s="784"/>
      <c r="AL360" s="784"/>
      <c r="AM360" s="784"/>
      <c r="AN360" s="784"/>
      <c r="AO360" s="784"/>
      <c r="AP360" s="784"/>
      <c r="AQ360" s="784"/>
      <c r="AR360" s="784"/>
      <c r="AS360" s="784"/>
      <c r="AT360" s="784"/>
      <c r="AU360" s="784"/>
      <c r="AV360" s="784"/>
      <c r="AW360" s="784"/>
      <c r="AX360" s="784"/>
      <c r="AY360" s="784"/>
      <c r="AZ360" s="784"/>
      <c r="BA360" s="784"/>
      <c r="BB360" s="784"/>
      <c r="BC360" s="784"/>
      <c r="BD360" s="784"/>
      <c r="BE360" s="784"/>
      <c r="BF360" s="784"/>
      <c r="BG360" s="784"/>
      <c r="BH360" s="784"/>
      <c r="BI360" s="784"/>
      <c r="BJ360" s="784"/>
      <c r="BK360" s="784"/>
      <c r="BL360" s="784"/>
      <c r="BM360" s="784"/>
      <c r="BN360" s="784"/>
      <c r="BO360" s="784"/>
      <c r="BP360" s="784"/>
      <c r="BQ360" s="784"/>
      <c r="BR360" s="784"/>
      <c r="BS360" s="784"/>
      <c r="BT360" s="784"/>
      <c r="BU360" s="784"/>
      <c r="BV360" s="784"/>
      <c r="BW360" s="784"/>
      <c r="BX360" s="784"/>
      <c r="BY360" s="784"/>
      <c r="BZ360" s="784"/>
    </row>
    <row r="361" spans="1:78" ht="14.25">
      <c r="A361" s="784"/>
      <c r="B361" s="784"/>
      <c r="C361" s="784"/>
      <c r="D361" s="784"/>
      <c r="E361" s="784"/>
      <c r="F361" s="784"/>
      <c r="G361" s="784"/>
      <c r="H361" s="784"/>
      <c r="I361" s="784"/>
      <c r="J361" s="784"/>
      <c r="K361" s="784"/>
      <c r="L361" s="784"/>
      <c r="M361" s="784"/>
      <c r="N361" s="784"/>
      <c r="O361" s="784"/>
      <c r="P361" s="784"/>
      <c r="Q361" s="784"/>
      <c r="R361" s="784"/>
      <c r="S361" s="784"/>
      <c r="T361" s="785"/>
      <c r="U361" s="784"/>
      <c r="V361" s="784"/>
      <c r="W361" s="784"/>
      <c r="X361" s="784"/>
      <c r="Y361" s="784"/>
      <c r="Z361" s="784"/>
      <c r="AA361" s="784"/>
      <c r="AB361" s="784"/>
      <c r="AC361" s="784"/>
      <c r="AD361" s="784"/>
      <c r="AE361" s="784"/>
      <c r="AF361" s="784"/>
      <c r="AG361" s="784"/>
      <c r="AH361" s="784"/>
      <c r="AI361" s="784"/>
      <c r="AJ361" s="784"/>
      <c r="AK361" s="784"/>
      <c r="AL361" s="784"/>
      <c r="AM361" s="784"/>
      <c r="AN361" s="784"/>
      <c r="AO361" s="784"/>
      <c r="AP361" s="784"/>
      <c r="AQ361" s="784"/>
      <c r="AR361" s="784"/>
      <c r="AS361" s="784"/>
      <c r="AT361" s="784"/>
      <c r="AU361" s="784"/>
      <c r="AV361" s="784"/>
      <c r="AW361" s="784"/>
      <c r="AX361" s="784"/>
      <c r="AY361" s="784"/>
      <c r="AZ361" s="784"/>
      <c r="BA361" s="784"/>
      <c r="BB361" s="784"/>
      <c r="BC361" s="784"/>
      <c r="BD361" s="784"/>
      <c r="BE361" s="784"/>
      <c r="BF361" s="784"/>
      <c r="BG361" s="784"/>
      <c r="BH361" s="784"/>
      <c r="BI361" s="784"/>
      <c r="BJ361" s="784"/>
      <c r="BK361" s="784"/>
      <c r="BL361" s="784"/>
      <c r="BM361" s="784"/>
      <c r="BN361" s="784"/>
      <c r="BO361" s="784"/>
      <c r="BP361" s="784"/>
      <c r="BQ361" s="784"/>
      <c r="BR361" s="784"/>
      <c r="BS361" s="784"/>
      <c r="BT361" s="784"/>
      <c r="BU361" s="784"/>
      <c r="BV361" s="784"/>
      <c r="BW361" s="784"/>
      <c r="BX361" s="784"/>
      <c r="BY361" s="784"/>
      <c r="BZ361" s="784"/>
    </row>
    <row r="362" spans="1:78" ht="14.25">
      <c r="A362" s="784"/>
      <c r="B362" s="784"/>
      <c r="C362" s="784"/>
      <c r="D362" s="784"/>
      <c r="E362" s="784"/>
      <c r="F362" s="784"/>
      <c r="G362" s="784"/>
      <c r="H362" s="784"/>
      <c r="I362" s="784"/>
      <c r="J362" s="784"/>
      <c r="K362" s="784"/>
      <c r="L362" s="784"/>
      <c r="M362" s="784"/>
      <c r="N362" s="784"/>
      <c r="O362" s="784"/>
      <c r="P362" s="784"/>
      <c r="Q362" s="784"/>
      <c r="R362" s="784"/>
      <c r="S362" s="784"/>
      <c r="T362" s="785"/>
      <c r="U362" s="784"/>
      <c r="V362" s="784"/>
      <c r="W362" s="784"/>
      <c r="X362" s="784"/>
      <c r="Y362" s="784"/>
      <c r="Z362" s="784"/>
      <c r="AA362" s="784"/>
      <c r="AB362" s="784"/>
      <c r="AC362" s="784"/>
      <c r="AD362" s="784"/>
      <c r="AE362" s="784"/>
      <c r="AF362" s="784"/>
      <c r="AG362" s="784"/>
      <c r="AH362" s="784"/>
      <c r="AI362" s="784"/>
      <c r="AJ362" s="784"/>
      <c r="AK362" s="784"/>
      <c r="AL362" s="784"/>
      <c r="AM362" s="784"/>
      <c r="AN362" s="784"/>
      <c r="AO362" s="784"/>
      <c r="AP362" s="784"/>
      <c r="AQ362" s="784"/>
      <c r="AR362" s="784"/>
      <c r="AS362" s="784"/>
      <c r="AT362" s="784"/>
      <c r="AU362" s="784"/>
      <c r="AV362" s="784"/>
      <c r="AW362" s="784"/>
      <c r="AX362" s="784"/>
      <c r="AY362" s="784"/>
      <c r="AZ362" s="784"/>
      <c r="BA362" s="784"/>
      <c r="BB362" s="784"/>
      <c r="BC362" s="784"/>
      <c r="BD362" s="784"/>
      <c r="BE362" s="784"/>
      <c r="BF362" s="784"/>
      <c r="BG362" s="784"/>
      <c r="BH362" s="784"/>
      <c r="BI362" s="784"/>
      <c r="BJ362" s="784"/>
      <c r="BK362" s="784"/>
      <c r="BL362" s="784"/>
      <c r="BM362" s="784"/>
      <c r="BN362" s="784"/>
      <c r="BO362" s="784"/>
      <c r="BP362" s="784"/>
      <c r="BQ362" s="784"/>
      <c r="BR362" s="784"/>
      <c r="BS362" s="784"/>
      <c r="BT362" s="784"/>
      <c r="BU362" s="784"/>
      <c r="BV362" s="784"/>
      <c r="BW362" s="784"/>
      <c r="BX362" s="784"/>
      <c r="BY362" s="784"/>
      <c r="BZ362" s="784"/>
    </row>
    <row r="363" spans="1:78" ht="14.25">
      <c r="A363" s="784"/>
      <c r="B363" s="784"/>
      <c r="C363" s="784"/>
      <c r="D363" s="784"/>
      <c r="E363" s="784"/>
      <c r="F363" s="784"/>
      <c r="G363" s="784"/>
      <c r="H363" s="784"/>
      <c r="I363" s="784"/>
      <c r="J363" s="784"/>
      <c r="K363" s="784"/>
      <c r="L363" s="784"/>
      <c r="M363" s="784"/>
      <c r="N363" s="784"/>
      <c r="O363" s="784"/>
      <c r="P363" s="784"/>
      <c r="Q363" s="784"/>
      <c r="R363" s="784"/>
      <c r="S363" s="784"/>
      <c r="T363" s="785"/>
      <c r="U363" s="784"/>
      <c r="V363" s="784"/>
      <c r="W363" s="784"/>
      <c r="X363" s="784"/>
      <c r="Y363" s="784"/>
      <c r="Z363" s="784"/>
      <c r="AA363" s="784"/>
      <c r="AB363" s="784"/>
      <c r="AC363" s="784"/>
      <c r="AD363" s="784"/>
      <c r="AE363" s="784"/>
      <c r="AF363" s="784"/>
      <c r="AG363" s="784"/>
      <c r="AH363" s="784"/>
      <c r="AI363" s="784"/>
      <c r="AJ363" s="784"/>
      <c r="AK363" s="784"/>
      <c r="AL363" s="784"/>
      <c r="AM363" s="784"/>
      <c r="AN363" s="784"/>
      <c r="AO363" s="784"/>
      <c r="AP363" s="784"/>
      <c r="AQ363" s="784"/>
      <c r="AR363" s="784"/>
      <c r="AS363" s="784"/>
      <c r="AT363" s="784"/>
      <c r="AU363" s="784"/>
      <c r="AV363" s="784"/>
      <c r="AW363" s="784"/>
      <c r="AX363" s="784"/>
      <c r="AY363" s="784"/>
      <c r="AZ363" s="784"/>
      <c r="BA363" s="784"/>
      <c r="BB363" s="784"/>
      <c r="BC363" s="784"/>
      <c r="BD363" s="784"/>
      <c r="BE363" s="784"/>
      <c r="BF363" s="784"/>
      <c r="BG363" s="784"/>
      <c r="BH363" s="784"/>
      <c r="BI363" s="784"/>
      <c r="BJ363" s="784"/>
      <c r="BK363" s="784"/>
      <c r="BL363" s="784"/>
      <c r="BM363" s="784"/>
      <c r="BN363" s="784"/>
      <c r="BO363" s="784"/>
      <c r="BP363" s="784"/>
      <c r="BQ363" s="784"/>
      <c r="BR363" s="784"/>
      <c r="BS363" s="784"/>
      <c r="BT363" s="784"/>
      <c r="BU363" s="784"/>
      <c r="BV363" s="784"/>
      <c r="BW363" s="784"/>
      <c r="BX363" s="784"/>
      <c r="BY363" s="784"/>
      <c r="BZ363" s="784"/>
    </row>
    <row r="364" spans="1:78" ht="14.25">
      <c r="A364" s="784"/>
      <c r="B364" s="784"/>
      <c r="C364" s="784"/>
      <c r="D364" s="784"/>
      <c r="E364" s="784"/>
      <c r="F364" s="784"/>
      <c r="G364" s="784"/>
      <c r="H364" s="784"/>
      <c r="I364" s="784"/>
      <c r="J364" s="784"/>
      <c r="K364" s="784"/>
      <c r="L364" s="784"/>
      <c r="M364" s="784"/>
      <c r="N364" s="784"/>
      <c r="O364" s="784"/>
      <c r="P364" s="784"/>
      <c r="Q364" s="784"/>
      <c r="R364" s="784"/>
      <c r="S364" s="784"/>
      <c r="T364" s="785"/>
      <c r="U364" s="784"/>
      <c r="V364" s="784"/>
      <c r="W364" s="784"/>
      <c r="X364" s="784"/>
      <c r="Y364" s="784"/>
      <c r="Z364" s="784"/>
      <c r="AA364" s="784"/>
      <c r="AB364" s="784"/>
      <c r="AC364" s="784"/>
      <c r="AD364" s="784"/>
      <c r="AE364" s="784"/>
      <c r="AF364" s="784"/>
      <c r="AG364" s="784"/>
      <c r="AH364" s="784"/>
      <c r="AI364" s="784"/>
      <c r="AJ364" s="784"/>
      <c r="AK364" s="784"/>
      <c r="AL364" s="784"/>
      <c r="AM364" s="784"/>
      <c r="AN364" s="784"/>
      <c r="AO364" s="784"/>
      <c r="AP364" s="784"/>
      <c r="AQ364" s="784"/>
      <c r="AR364" s="784"/>
      <c r="AS364" s="784"/>
      <c r="AT364" s="784"/>
      <c r="AU364" s="784"/>
      <c r="AV364" s="784"/>
      <c r="AW364" s="784"/>
      <c r="AX364" s="784"/>
      <c r="AY364" s="784"/>
      <c r="AZ364" s="784"/>
      <c r="BA364" s="784"/>
      <c r="BB364" s="784"/>
      <c r="BC364" s="784"/>
      <c r="BD364" s="784"/>
      <c r="BE364" s="784"/>
      <c r="BF364" s="784"/>
      <c r="BG364" s="784"/>
      <c r="BH364" s="784"/>
      <c r="BI364" s="784"/>
      <c r="BJ364" s="784"/>
      <c r="BK364" s="784"/>
      <c r="BL364" s="784"/>
      <c r="BM364" s="784"/>
      <c r="BN364" s="784"/>
      <c r="BO364" s="784"/>
      <c r="BP364" s="784"/>
      <c r="BQ364" s="784"/>
      <c r="BR364" s="784"/>
      <c r="BS364" s="784"/>
      <c r="BT364" s="784"/>
      <c r="BU364" s="784"/>
      <c r="BV364" s="784"/>
      <c r="BW364" s="784"/>
      <c r="BX364" s="784"/>
      <c r="BY364" s="784"/>
      <c r="BZ364" s="784"/>
    </row>
    <row r="365" spans="1:78" ht="14.25">
      <c r="A365" s="784"/>
      <c r="B365" s="784"/>
      <c r="C365" s="784"/>
      <c r="D365" s="784"/>
      <c r="E365" s="784"/>
      <c r="F365" s="784"/>
      <c r="G365" s="784"/>
      <c r="H365" s="784"/>
      <c r="I365" s="784"/>
      <c r="J365" s="784"/>
      <c r="K365" s="784"/>
      <c r="L365" s="784"/>
      <c r="M365" s="784"/>
      <c r="N365" s="784"/>
      <c r="O365" s="784"/>
      <c r="P365" s="784"/>
      <c r="Q365" s="784"/>
      <c r="R365" s="784"/>
      <c r="S365" s="784"/>
      <c r="T365" s="785"/>
      <c r="U365" s="784"/>
      <c r="V365" s="784"/>
      <c r="W365" s="784"/>
      <c r="X365" s="784"/>
      <c r="Y365" s="784"/>
      <c r="Z365" s="784"/>
      <c r="AA365" s="784"/>
      <c r="AB365" s="784"/>
      <c r="AC365" s="784"/>
      <c r="AD365" s="784"/>
      <c r="AE365" s="784"/>
      <c r="AF365" s="784"/>
      <c r="AG365" s="784"/>
      <c r="AH365" s="784"/>
      <c r="AI365" s="784"/>
      <c r="AJ365" s="784"/>
      <c r="AK365" s="784"/>
      <c r="AL365" s="784"/>
      <c r="AM365" s="784"/>
      <c r="AN365" s="784"/>
      <c r="AO365" s="784"/>
      <c r="AP365" s="784"/>
      <c r="AQ365" s="784"/>
      <c r="AR365" s="784"/>
      <c r="AS365" s="784"/>
      <c r="AT365" s="784"/>
      <c r="AU365" s="784"/>
      <c r="AV365" s="784"/>
      <c r="AW365" s="784"/>
      <c r="AX365" s="784"/>
      <c r="AY365" s="784"/>
      <c r="AZ365" s="784"/>
      <c r="BA365" s="784"/>
      <c r="BB365" s="784"/>
      <c r="BC365" s="784"/>
      <c r="BD365" s="784"/>
      <c r="BE365" s="784"/>
      <c r="BF365" s="784"/>
      <c r="BG365" s="784"/>
      <c r="BH365" s="784"/>
      <c r="BI365" s="784"/>
      <c r="BJ365" s="784"/>
      <c r="BK365" s="784"/>
      <c r="BL365" s="784"/>
      <c r="BM365" s="784"/>
      <c r="BN365" s="784"/>
      <c r="BO365" s="784"/>
      <c r="BP365" s="784"/>
      <c r="BQ365" s="784"/>
      <c r="BR365" s="784"/>
      <c r="BS365" s="784"/>
      <c r="BT365" s="784"/>
      <c r="BU365" s="784"/>
      <c r="BV365" s="784"/>
      <c r="BW365" s="784"/>
      <c r="BX365" s="784"/>
      <c r="BY365" s="784"/>
      <c r="BZ365" s="784"/>
    </row>
    <row r="366" spans="1:78" ht="14.25">
      <c r="A366" s="784"/>
      <c r="B366" s="784"/>
      <c r="C366" s="784"/>
      <c r="D366" s="784"/>
      <c r="E366" s="784"/>
      <c r="F366" s="784"/>
      <c r="G366" s="784"/>
      <c r="H366" s="784"/>
      <c r="I366" s="784"/>
      <c r="J366" s="784"/>
      <c r="K366" s="784"/>
      <c r="L366" s="784"/>
      <c r="M366" s="784"/>
      <c r="N366" s="784"/>
      <c r="O366" s="784"/>
      <c r="P366" s="784"/>
      <c r="Q366" s="784"/>
      <c r="R366" s="784"/>
      <c r="S366" s="784"/>
      <c r="T366" s="785"/>
      <c r="U366" s="784"/>
      <c r="V366" s="784"/>
      <c r="W366" s="784"/>
      <c r="X366" s="784"/>
      <c r="Y366" s="784"/>
      <c r="Z366" s="784"/>
      <c r="AA366" s="784"/>
      <c r="AB366" s="784"/>
      <c r="AC366" s="784"/>
      <c r="AD366" s="784"/>
      <c r="AE366" s="784"/>
      <c r="AF366" s="784"/>
      <c r="AG366" s="784"/>
      <c r="AH366" s="784"/>
      <c r="AI366" s="784"/>
      <c r="AJ366" s="784"/>
      <c r="AK366" s="784"/>
      <c r="AL366" s="784"/>
      <c r="AM366" s="784"/>
      <c r="AN366" s="784"/>
      <c r="AO366" s="784"/>
      <c r="AP366" s="784"/>
      <c r="AQ366" s="784"/>
      <c r="AR366" s="784"/>
      <c r="AS366" s="784"/>
      <c r="AT366" s="784"/>
      <c r="AU366" s="784"/>
      <c r="AV366" s="784"/>
      <c r="AW366" s="784"/>
      <c r="AX366" s="784"/>
      <c r="AY366" s="784"/>
      <c r="AZ366" s="784"/>
      <c r="BA366" s="784"/>
      <c r="BB366" s="784"/>
      <c r="BC366" s="784"/>
      <c r="BD366" s="784"/>
      <c r="BE366" s="784"/>
      <c r="BF366" s="784"/>
      <c r="BG366" s="784"/>
      <c r="BH366" s="784"/>
      <c r="BI366" s="784"/>
      <c r="BJ366" s="784"/>
      <c r="BK366" s="784"/>
      <c r="BL366" s="784"/>
      <c r="BM366" s="784"/>
      <c r="BN366" s="784"/>
      <c r="BO366" s="784"/>
      <c r="BP366" s="784"/>
      <c r="BQ366" s="784"/>
      <c r="BR366" s="784"/>
      <c r="BS366" s="784"/>
      <c r="BT366" s="784"/>
      <c r="BU366" s="784"/>
      <c r="BV366" s="784"/>
      <c r="BW366" s="784"/>
      <c r="BX366" s="784"/>
      <c r="BY366" s="784"/>
      <c r="BZ366" s="784"/>
    </row>
    <row r="367" spans="1:78" ht="14.25">
      <c r="A367" s="784"/>
      <c r="B367" s="784"/>
      <c r="C367" s="784"/>
      <c r="D367" s="784"/>
      <c r="E367" s="784"/>
      <c r="F367" s="784"/>
      <c r="G367" s="784"/>
      <c r="H367" s="784"/>
      <c r="I367" s="784"/>
      <c r="J367" s="784"/>
      <c r="K367" s="784"/>
      <c r="L367" s="784"/>
      <c r="M367" s="784"/>
      <c r="N367" s="784"/>
      <c r="O367" s="784"/>
      <c r="P367" s="784"/>
      <c r="Q367" s="784"/>
      <c r="R367" s="784"/>
      <c r="S367" s="784"/>
      <c r="T367" s="785"/>
      <c r="U367" s="784"/>
      <c r="V367" s="784"/>
      <c r="W367" s="784"/>
      <c r="X367" s="784"/>
      <c r="Y367" s="784"/>
      <c r="Z367" s="784"/>
      <c r="AA367" s="784"/>
      <c r="AB367" s="784"/>
      <c r="AC367" s="784"/>
      <c r="AD367" s="784"/>
      <c r="AE367" s="784"/>
      <c r="AF367" s="784"/>
      <c r="AG367" s="784"/>
      <c r="AH367" s="784"/>
      <c r="AI367" s="784"/>
      <c r="AJ367" s="784"/>
      <c r="AK367" s="784"/>
      <c r="AL367" s="784"/>
      <c r="AM367" s="784"/>
      <c r="AN367" s="784"/>
      <c r="AO367" s="784"/>
      <c r="AP367" s="784"/>
      <c r="AQ367" s="784"/>
      <c r="AR367" s="784"/>
      <c r="AS367" s="784"/>
      <c r="AT367" s="784"/>
      <c r="AU367" s="784"/>
      <c r="AV367" s="784"/>
      <c r="AW367" s="784"/>
      <c r="AX367" s="784"/>
      <c r="AY367" s="784"/>
      <c r="AZ367" s="784"/>
      <c r="BA367" s="784"/>
      <c r="BB367" s="784"/>
      <c r="BC367" s="784"/>
      <c r="BD367" s="784"/>
      <c r="BE367" s="784"/>
      <c r="BF367" s="784"/>
      <c r="BG367" s="784"/>
      <c r="BH367" s="784"/>
      <c r="BI367" s="784"/>
      <c r="BJ367" s="784"/>
      <c r="BK367" s="784"/>
      <c r="BL367" s="784"/>
      <c r="BM367" s="784"/>
      <c r="BN367" s="784"/>
      <c r="BO367" s="784"/>
      <c r="BP367" s="784"/>
      <c r="BQ367" s="784"/>
      <c r="BR367" s="784"/>
      <c r="BS367" s="784"/>
      <c r="BT367" s="784"/>
      <c r="BU367" s="784"/>
      <c r="BV367" s="784"/>
      <c r="BW367" s="784"/>
      <c r="BX367" s="784"/>
      <c r="BY367" s="784"/>
      <c r="BZ367" s="784"/>
    </row>
    <row r="368" spans="1:78" ht="14.25">
      <c r="A368" s="784"/>
      <c r="B368" s="784"/>
      <c r="C368" s="784"/>
      <c r="D368" s="784"/>
      <c r="E368" s="784"/>
      <c r="F368" s="784"/>
      <c r="G368" s="784"/>
      <c r="H368" s="784"/>
      <c r="I368" s="784"/>
      <c r="J368" s="784"/>
      <c r="K368" s="784"/>
      <c r="L368" s="784"/>
      <c r="M368" s="784"/>
      <c r="N368" s="784"/>
      <c r="O368" s="784"/>
      <c r="P368" s="784"/>
      <c r="Q368" s="784"/>
      <c r="R368" s="784"/>
      <c r="S368" s="784"/>
      <c r="T368" s="785"/>
      <c r="U368" s="784"/>
      <c r="V368" s="784"/>
      <c r="W368" s="784"/>
      <c r="X368" s="784"/>
      <c r="Y368" s="784"/>
      <c r="Z368" s="784"/>
      <c r="AA368" s="784"/>
      <c r="AB368" s="784"/>
      <c r="AC368" s="784"/>
      <c r="AD368" s="784"/>
      <c r="AE368" s="784"/>
      <c r="AF368" s="784"/>
      <c r="AG368" s="784"/>
      <c r="AH368" s="784"/>
      <c r="AI368" s="784"/>
      <c r="AJ368" s="784"/>
      <c r="AK368" s="784"/>
      <c r="AL368" s="784"/>
      <c r="AM368" s="784"/>
      <c r="AN368" s="784"/>
      <c r="AO368" s="784"/>
      <c r="AP368" s="784"/>
      <c r="AQ368" s="784"/>
      <c r="AR368" s="784"/>
      <c r="AS368" s="784"/>
      <c r="AT368" s="784"/>
      <c r="AU368" s="784"/>
      <c r="AV368" s="784"/>
      <c r="AW368" s="784"/>
      <c r="AX368" s="784"/>
      <c r="AY368" s="784"/>
      <c r="AZ368" s="784"/>
      <c r="BA368" s="784"/>
      <c r="BB368" s="784"/>
      <c r="BC368" s="784"/>
      <c r="BD368" s="784"/>
      <c r="BE368" s="784"/>
      <c r="BF368" s="784"/>
      <c r="BG368" s="784"/>
      <c r="BH368" s="784"/>
      <c r="BI368" s="784"/>
      <c r="BJ368" s="784"/>
      <c r="BK368" s="784"/>
      <c r="BL368" s="784"/>
      <c r="BM368" s="784"/>
      <c r="BN368" s="784"/>
      <c r="BO368" s="784"/>
      <c r="BP368" s="784"/>
      <c r="BQ368" s="784"/>
      <c r="BR368" s="784"/>
      <c r="BS368" s="784"/>
      <c r="BT368" s="784"/>
      <c r="BU368" s="784"/>
      <c r="BV368" s="784"/>
      <c r="BW368" s="784"/>
      <c r="BX368" s="784"/>
      <c r="BY368" s="784"/>
      <c r="BZ368" s="784"/>
    </row>
    <row r="369" spans="1:78" ht="14.25">
      <c r="A369" s="784"/>
      <c r="B369" s="784"/>
      <c r="C369" s="784"/>
      <c r="D369" s="784"/>
      <c r="E369" s="784"/>
      <c r="F369" s="784"/>
      <c r="G369" s="784"/>
      <c r="H369" s="784"/>
      <c r="I369" s="784"/>
      <c r="J369" s="784"/>
      <c r="K369" s="784"/>
      <c r="L369" s="784"/>
      <c r="M369" s="784"/>
      <c r="N369" s="784"/>
      <c r="O369" s="784"/>
      <c r="P369" s="784"/>
      <c r="Q369" s="784"/>
      <c r="R369" s="784"/>
      <c r="S369" s="784"/>
      <c r="T369" s="785"/>
      <c r="U369" s="784"/>
      <c r="V369" s="784"/>
      <c r="W369" s="784"/>
      <c r="X369" s="784"/>
      <c r="Y369" s="784"/>
      <c r="Z369" s="784"/>
      <c r="AA369" s="784"/>
      <c r="AB369" s="784"/>
      <c r="AC369" s="784"/>
      <c r="AD369" s="784"/>
      <c r="AE369" s="784"/>
      <c r="AF369" s="784"/>
      <c r="AG369" s="784"/>
      <c r="AH369" s="784"/>
      <c r="AI369" s="784"/>
      <c r="AJ369" s="784"/>
      <c r="AK369" s="784"/>
      <c r="AL369" s="784"/>
      <c r="AM369" s="784"/>
      <c r="AN369" s="784"/>
      <c r="AO369" s="784"/>
      <c r="AP369" s="784"/>
      <c r="AQ369" s="784"/>
      <c r="AR369" s="784"/>
      <c r="AS369" s="784"/>
      <c r="AT369" s="784"/>
      <c r="AU369" s="784"/>
      <c r="AV369" s="784"/>
      <c r="AW369" s="784"/>
      <c r="AX369" s="784"/>
      <c r="AY369" s="784"/>
      <c r="AZ369" s="784"/>
      <c r="BA369" s="784"/>
      <c r="BB369" s="784"/>
      <c r="BC369" s="784"/>
      <c r="BD369" s="784"/>
      <c r="BE369" s="784"/>
      <c r="BF369" s="784"/>
      <c r="BG369" s="784"/>
      <c r="BH369" s="784"/>
      <c r="BI369" s="784"/>
      <c r="BJ369" s="784"/>
      <c r="BK369" s="784"/>
      <c r="BL369" s="784"/>
      <c r="BM369" s="784"/>
      <c r="BN369" s="784"/>
      <c r="BO369" s="784"/>
      <c r="BP369" s="784"/>
      <c r="BQ369" s="784"/>
      <c r="BR369" s="784"/>
      <c r="BS369" s="784"/>
      <c r="BT369" s="784"/>
      <c r="BU369" s="784"/>
      <c r="BV369" s="784"/>
      <c r="BW369" s="784"/>
      <c r="BX369" s="784"/>
      <c r="BY369" s="784"/>
      <c r="BZ369" s="784"/>
    </row>
    <row r="370" spans="1:78" ht="14.25">
      <c r="A370" s="784"/>
      <c r="B370" s="784"/>
      <c r="C370" s="784"/>
      <c r="D370" s="784"/>
      <c r="E370" s="784"/>
      <c r="F370" s="784"/>
      <c r="G370" s="784"/>
      <c r="H370" s="784"/>
      <c r="I370" s="784"/>
      <c r="J370" s="784"/>
      <c r="K370" s="784"/>
      <c r="L370" s="784"/>
      <c r="M370" s="784"/>
      <c r="N370" s="784"/>
      <c r="O370" s="784"/>
      <c r="P370" s="784"/>
      <c r="Q370" s="784"/>
      <c r="R370" s="784"/>
      <c r="S370" s="784"/>
      <c r="T370" s="785"/>
      <c r="U370" s="784"/>
      <c r="V370" s="784"/>
      <c r="W370" s="784"/>
      <c r="X370" s="784"/>
      <c r="Y370" s="784"/>
      <c r="Z370" s="784"/>
      <c r="AA370" s="784"/>
      <c r="AB370" s="784"/>
      <c r="AC370" s="784"/>
      <c r="AD370" s="784"/>
      <c r="AE370" s="784"/>
      <c r="AF370" s="784"/>
      <c r="AG370" s="784"/>
      <c r="AH370" s="784"/>
      <c r="AI370" s="784"/>
      <c r="AJ370" s="784"/>
      <c r="AK370" s="784"/>
      <c r="AL370" s="784"/>
      <c r="AM370" s="784"/>
      <c r="AN370" s="784"/>
      <c r="AO370" s="784"/>
      <c r="AP370" s="784"/>
      <c r="AQ370" s="784"/>
      <c r="AR370" s="784"/>
      <c r="AS370" s="784"/>
      <c r="AT370" s="784"/>
      <c r="AU370" s="784"/>
      <c r="AV370" s="784"/>
      <c r="AW370" s="784"/>
      <c r="AX370" s="784"/>
      <c r="AY370" s="784"/>
      <c r="AZ370" s="784"/>
      <c r="BA370" s="784"/>
      <c r="BB370" s="784"/>
      <c r="BC370" s="784"/>
      <c r="BD370" s="784"/>
      <c r="BE370" s="784"/>
      <c r="BF370" s="784"/>
      <c r="BG370" s="784"/>
      <c r="BH370" s="784"/>
      <c r="BI370" s="784"/>
      <c r="BJ370" s="784"/>
      <c r="BK370" s="784"/>
      <c r="BL370" s="784"/>
      <c r="BM370" s="784"/>
      <c r="BN370" s="784"/>
      <c r="BO370" s="784"/>
      <c r="BP370" s="784"/>
      <c r="BQ370" s="784"/>
      <c r="BR370" s="784"/>
      <c r="BS370" s="784"/>
      <c r="BT370" s="784"/>
      <c r="BU370" s="784"/>
      <c r="BV370" s="784"/>
      <c r="BW370" s="784"/>
      <c r="BX370" s="784"/>
      <c r="BY370" s="784"/>
      <c r="BZ370" s="784"/>
    </row>
    <row r="371" spans="1:78" ht="14.25">
      <c r="A371" s="784"/>
      <c r="B371" s="784"/>
      <c r="C371" s="784"/>
      <c r="D371" s="784"/>
      <c r="E371" s="784"/>
      <c r="F371" s="784"/>
      <c r="G371" s="784"/>
      <c r="H371" s="784"/>
      <c r="I371" s="784"/>
      <c r="J371" s="784"/>
      <c r="K371" s="784"/>
      <c r="L371" s="784"/>
      <c r="M371" s="784"/>
      <c r="N371" s="784"/>
      <c r="O371" s="784"/>
      <c r="P371" s="784"/>
      <c r="Q371" s="784"/>
      <c r="R371" s="784"/>
      <c r="S371" s="784"/>
      <c r="T371" s="785"/>
      <c r="U371" s="784"/>
      <c r="V371" s="784"/>
      <c r="W371" s="784"/>
      <c r="X371" s="784"/>
      <c r="Y371" s="784"/>
      <c r="Z371" s="784"/>
      <c r="AA371" s="784"/>
      <c r="AB371" s="784"/>
      <c r="AC371" s="784"/>
      <c r="AD371" s="784"/>
      <c r="AE371" s="784"/>
      <c r="AF371" s="784"/>
      <c r="AG371" s="784"/>
      <c r="AH371" s="784"/>
      <c r="AI371" s="784"/>
      <c r="AJ371" s="784"/>
      <c r="AK371" s="784"/>
      <c r="AL371" s="784"/>
      <c r="AM371" s="784"/>
      <c r="AN371" s="784"/>
      <c r="AO371" s="784"/>
      <c r="AP371" s="784"/>
      <c r="AQ371" s="784"/>
      <c r="AR371" s="784"/>
      <c r="AS371" s="784"/>
      <c r="AT371" s="784"/>
      <c r="AU371" s="784"/>
      <c r="AV371" s="784"/>
      <c r="AW371" s="784"/>
      <c r="AX371" s="784"/>
      <c r="AY371" s="784"/>
      <c r="AZ371" s="784"/>
      <c r="BA371" s="784"/>
      <c r="BB371" s="784"/>
      <c r="BC371" s="784"/>
      <c r="BD371" s="784"/>
      <c r="BE371" s="784"/>
      <c r="BF371" s="784"/>
      <c r="BG371" s="784"/>
      <c r="BH371" s="784"/>
      <c r="BI371" s="784"/>
      <c r="BJ371" s="784"/>
      <c r="BK371" s="784"/>
      <c r="BL371" s="784"/>
      <c r="BM371" s="784"/>
      <c r="BN371" s="784"/>
      <c r="BO371" s="784"/>
      <c r="BP371" s="784"/>
      <c r="BQ371" s="784"/>
      <c r="BR371" s="784"/>
      <c r="BS371" s="784"/>
      <c r="BT371" s="784"/>
      <c r="BU371" s="784"/>
      <c r="BV371" s="784"/>
      <c r="BW371" s="784"/>
      <c r="BX371" s="784"/>
      <c r="BY371" s="784"/>
      <c r="BZ371" s="784"/>
    </row>
    <row r="372" spans="1:78" ht="14.25">
      <c r="A372" s="784"/>
      <c r="B372" s="784"/>
      <c r="C372" s="784"/>
      <c r="D372" s="784"/>
      <c r="E372" s="784"/>
      <c r="F372" s="784"/>
      <c r="G372" s="784"/>
      <c r="H372" s="784"/>
      <c r="I372" s="784"/>
      <c r="J372" s="784"/>
      <c r="K372" s="784"/>
      <c r="L372" s="784"/>
      <c r="M372" s="784"/>
      <c r="N372" s="784"/>
      <c r="O372" s="784"/>
      <c r="P372" s="784"/>
      <c r="Q372" s="784"/>
      <c r="R372" s="784"/>
      <c r="S372" s="784"/>
      <c r="T372" s="785"/>
      <c r="U372" s="784"/>
      <c r="V372" s="784"/>
      <c r="W372" s="784"/>
      <c r="X372" s="784"/>
      <c r="Y372" s="784"/>
      <c r="Z372" s="784"/>
      <c r="AA372" s="784"/>
      <c r="AB372" s="784"/>
      <c r="AC372" s="784"/>
      <c r="AD372" s="784"/>
      <c r="AE372" s="784"/>
      <c r="AF372" s="784"/>
      <c r="AG372" s="784"/>
      <c r="AH372" s="784"/>
      <c r="AI372" s="784"/>
      <c r="AJ372" s="784"/>
      <c r="AK372" s="784"/>
      <c r="AL372" s="784"/>
      <c r="AM372" s="784"/>
      <c r="AN372" s="784"/>
      <c r="AO372" s="784"/>
      <c r="AP372" s="784"/>
      <c r="AQ372" s="784"/>
      <c r="AR372" s="784"/>
      <c r="AS372" s="784"/>
      <c r="AT372" s="784"/>
      <c r="AU372" s="784"/>
      <c r="AV372" s="784"/>
      <c r="AW372" s="784"/>
      <c r="AX372" s="784"/>
      <c r="AY372" s="784"/>
      <c r="AZ372" s="784"/>
      <c r="BA372" s="784"/>
      <c r="BB372" s="784"/>
      <c r="BC372" s="784"/>
      <c r="BD372" s="784"/>
      <c r="BE372" s="784"/>
      <c r="BF372" s="784"/>
      <c r="BG372" s="784"/>
      <c r="BH372" s="784"/>
      <c r="BI372" s="784"/>
      <c r="BJ372" s="784"/>
      <c r="BK372" s="784"/>
      <c r="BL372" s="784"/>
      <c r="BM372" s="784"/>
      <c r="BN372" s="784"/>
      <c r="BO372" s="784"/>
      <c r="BP372" s="784"/>
      <c r="BQ372" s="784"/>
      <c r="BR372" s="784"/>
      <c r="BS372" s="784"/>
      <c r="BT372" s="784"/>
      <c r="BU372" s="784"/>
      <c r="BV372" s="784"/>
      <c r="BW372" s="784"/>
      <c r="BX372" s="784"/>
      <c r="BY372" s="784"/>
      <c r="BZ372" s="784"/>
    </row>
    <row r="373" spans="1:78" ht="14.25">
      <c r="A373" s="784"/>
      <c r="B373" s="784"/>
      <c r="C373" s="784"/>
      <c r="D373" s="784"/>
      <c r="E373" s="784"/>
      <c r="F373" s="784"/>
      <c r="G373" s="784"/>
      <c r="H373" s="784"/>
      <c r="I373" s="784"/>
      <c r="J373" s="784"/>
      <c r="K373" s="784"/>
      <c r="L373" s="784"/>
      <c r="M373" s="784"/>
      <c r="N373" s="784"/>
      <c r="O373" s="784"/>
      <c r="P373" s="784"/>
      <c r="Q373" s="784"/>
      <c r="R373" s="784"/>
      <c r="S373" s="784"/>
      <c r="T373" s="785"/>
      <c r="U373" s="784"/>
      <c r="V373" s="784"/>
      <c r="W373" s="784"/>
      <c r="X373" s="784"/>
      <c r="Y373" s="784"/>
      <c r="Z373" s="784"/>
      <c r="AA373" s="784"/>
      <c r="AB373" s="784"/>
      <c r="AC373" s="784"/>
      <c r="AD373" s="784"/>
      <c r="AE373" s="784"/>
      <c r="AF373" s="784"/>
      <c r="AG373" s="784"/>
      <c r="AH373" s="784"/>
      <c r="AI373" s="784"/>
      <c r="AJ373" s="784"/>
      <c r="AK373" s="784"/>
      <c r="AL373" s="784"/>
      <c r="AM373" s="784"/>
      <c r="AN373" s="784"/>
      <c r="AO373" s="784"/>
      <c r="AP373" s="784"/>
      <c r="AQ373" s="784"/>
      <c r="AR373" s="784"/>
      <c r="AS373" s="784"/>
      <c r="AT373" s="784"/>
      <c r="AU373" s="784"/>
      <c r="AV373" s="784"/>
      <c r="AW373" s="784"/>
      <c r="AX373" s="784"/>
      <c r="AY373" s="784"/>
      <c r="AZ373" s="784"/>
      <c r="BA373" s="784"/>
      <c r="BB373" s="784"/>
      <c r="BC373" s="784"/>
      <c r="BD373" s="784"/>
      <c r="BE373" s="784"/>
      <c r="BF373" s="784"/>
      <c r="BG373" s="784"/>
      <c r="BH373" s="784"/>
      <c r="BI373" s="784"/>
      <c r="BJ373" s="784"/>
      <c r="BK373" s="784"/>
      <c r="BL373" s="784"/>
      <c r="BM373" s="784"/>
      <c r="BN373" s="784"/>
      <c r="BO373" s="784"/>
      <c r="BP373" s="784"/>
      <c r="BQ373" s="784"/>
      <c r="BR373" s="784"/>
      <c r="BS373" s="784"/>
      <c r="BT373" s="784"/>
      <c r="BU373" s="784"/>
      <c r="BV373" s="784"/>
      <c r="BW373" s="784"/>
      <c r="BX373" s="784"/>
      <c r="BY373" s="784"/>
      <c r="BZ373" s="784"/>
    </row>
    <row r="374" spans="1:78" ht="14.25">
      <c r="A374" s="784"/>
      <c r="B374" s="784"/>
      <c r="C374" s="784"/>
      <c r="D374" s="784"/>
      <c r="E374" s="784"/>
      <c r="F374" s="784"/>
      <c r="G374" s="784"/>
      <c r="H374" s="784"/>
      <c r="I374" s="784"/>
      <c r="J374" s="784"/>
      <c r="K374" s="784"/>
      <c r="L374" s="784"/>
      <c r="M374" s="784"/>
      <c r="N374" s="784"/>
      <c r="O374" s="784"/>
      <c r="P374" s="784"/>
      <c r="Q374" s="784"/>
      <c r="R374" s="784"/>
      <c r="S374" s="784"/>
      <c r="T374" s="785"/>
      <c r="U374" s="784"/>
      <c r="V374" s="784"/>
      <c r="W374" s="784"/>
      <c r="X374" s="784"/>
      <c r="Y374" s="784"/>
      <c r="Z374" s="784"/>
      <c r="AA374" s="784"/>
      <c r="AB374" s="784"/>
      <c r="AC374" s="784"/>
      <c r="AD374" s="784"/>
      <c r="AE374" s="784"/>
      <c r="AF374" s="784"/>
      <c r="AG374" s="784"/>
      <c r="AH374" s="784"/>
      <c r="AI374" s="784"/>
      <c r="AJ374" s="784"/>
      <c r="AK374" s="784"/>
      <c r="AL374" s="784"/>
      <c r="AM374" s="784"/>
      <c r="AN374" s="784"/>
      <c r="AO374" s="784"/>
      <c r="AP374" s="784"/>
      <c r="AQ374" s="784"/>
      <c r="AR374" s="784"/>
      <c r="AS374" s="784"/>
      <c r="AT374" s="784"/>
      <c r="AU374" s="784"/>
      <c r="AV374" s="784"/>
      <c r="AW374" s="784"/>
      <c r="AX374" s="784"/>
      <c r="AY374" s="784"/>
      <c r="AZ374" s="784"/>
      <c r="BA374" s="784"/>
      <c r="BB374" s="784"/>
      <c r="BC374" s="784"/>
      <c r="BD374" s="784"/>
      <c r="BE374" s="784"/>
      <c r="BF374" s="784"/>
      <c r="BG374" s="784"/>
      <c r="BH374" s="784"/>
      <c r="BI374" s="784"/>
      <c r="BJ374" s="784"/>
      <c r="BK374" s="784"/>
      <c r="BL374" s="784"/>
      <c r="BM374" s="784"/>
      <c r="BN374" s="784"/>
      <c r="BO374" s="784"/>
      <c r="BP374" s="784"/>
      <c r="BQ374" s="784"/>
      <c r="BR374" s="784"/>
      <c r="BS374" s="784"/>
      <c r="BT374" s="784"/>
      <c r="BU374" s="784"/>
      <c r="BV374" s="784"/>
      <c r="BW374" s="784"/>
      <c r="BX374" s="784"/>
      <c r="BY374" s="784"/>
      <c r="BZ374" s="784"/>
    </row>
    <row r="375" spans="1:78" ht="14.25">
      <c r="A375" s="784"/>
      <c r="B375" s="784"/>
      <c r="C375" s="784"/>
      <c r="D375" s="784"/>
      <c r="E375" s="784"/>
      <c r="F375" s="784"/>
      <c r="G375" s="784"/>
      <c r="H375" s="784"/>
      <c r="I375" s="784"/>
      <c r="J375" s="784"/>
      <c r="K375" s="784"/>
      <c r="L375" s="784"/>
      <c r="M375" s="784"/>
      <c r="N375" s="784"/>
      <c r="O375" s="784"/>
      <c r="P375" s="784"/>
      <c r="Q375" s="784"/>
      <c r="R375" s="784"/>
      <c r="S375" s="784"/>
      <c r="T375" s="785"/>
      <c r="U375" s="784"/>
      <c r="V375" s="784"/>
      <c r="W375" s="784"/>
      <c r="X375" s="784"/>
      <c r="Y375" s="784"/>
      <c r="Z375" s="784"/>
      <c r="AA375" s="784"/>
      <c r="AB375" s="784"/>
      <c r="AC375" s="784"/>
      <c r="AD375" s="784"/>
      <c r="AE375" s="784"/>
      <c r="AF375" s="784"/>
      <c r="AG375" s="784"/>
      <c r="AH375" s="784"/>
      <c r="AI375" s="784"/>
      <c r="AJ375" s="784"/>
      <c r="AK375" s="784"/>
      <c r="AL375" s="784"/>
      <c r="AM375" s="784"/>
      <c r="AN375" s="784"/>
      <c r="AO375" s="784"/>
      <c r="AP375" s="784"/>
      <c r="AQ375" s="784"/>
      <c r="AR375" s="784"/>
      <c r="AS375" s="784"/>
      <c r="AT375" s="784"/>
      <c r="AU375" s="784"/>
      <c r="AV375" s="784"/>
      <c r="AW375" s="784"/>
      <c r="AX375" s="784"/>
      <c r="AY375" s="784"/>
      <c r="AZ375" s="784"/>
      <c r="BA375" s="784"/>
      <c r="BB375" s="784"/>
      <c r="BC375" s="784"/>
      <c r="BD375" s="784"/>
      <c r="BE375" s="784"/>
      <c r="BF375" s="784"/>
      <c r="BG375" s="784"/>
      <c r="BH375" s="784"/>
      <c r="BI375" s="784"/>
      <c r="BJ375" s="784"/>
      <c r="BK375" s="784"/>
      <c r="BL375" s="784"/>
      <c r="BM375" s="784"/>
      <c r="BN375" s="784"/>
      <c r="BO375" s="784"/>
      <c r="BP375" s="784"/>
      <c r="BQ375" s="784"/>
      <c r="BR375" s="784"/>
      <c r="BS375" s="784"/>
      <c r="BT375" s="784"/>
      <c r="BU375" s="784"/>
      <c r="BV375" s="784"/>
      <c r="BW375" s="784"/>
      <c r="BX375" s="784"/>
      <c r="BY375" s="784"/>
      <c r="BZ375" s="784"/>
    </row>
    <row r="376" spans="1:78" ht="14.25">
      <c r="A376" s="784"/>
      <c r="B376" s="784"/>
      <c r="C376" s="784"/>
      <c r="D376" s="784"/>
      <c r="E376" s="784"/>
      <c r="F376" s="784"/>
      <c r="G376" s="784"/>
      <c r="H376" s="784"/>
      <c r="I376" s="784"/>
      <c r="J376" s="784"/>
      <c r="K376" s="784"/>
      <c r="L376" s="784"/>
      <c r="M376" s="784"/>
      <c r="N376" s="784"/>
      <c r="O376" s="784"/>
      <c r="P376" s="784"/>
      <c r="Q376" s="784"/>
      <c r="R376" s="784"/>
      <c r="S376" s="784"/>
      <c r="T376" s="785"/>
      <c r="U376" s="784"/>
      <c r="V376" s="784"/>
      <c r="W376" s="784"/>
      <c r="X376" s="784"/>
      <c r="Y376" s="784"/>
      <c r="Z376" s="784"/>
      <c r="AA376" s="784"/>
      <c r="AB376" s="784"/>
      <c r="AC376" s="784"/>
      <c r="AD376" s="784"/>
      <c r="AE376" s="784"/>
      <c r="AF376" s="784"/>
      <c r="AG376" s="784"/>
      <c r="AH376" s="784"/>
      <c r="AI376" s="784"/>
      <c r="AJ376" s="784"/>
      <c r="AK376" s="784"/>
      <c r="AL376" s="784"/>
      <c r="AM376" s="784"/>
      <c r="AN376" s="784"/>
      <c r="AO376" s="784"/>
      <c r="AP376" s="784"/>
      <c r="AQ376" s="784"/>
      <c r="AR376" s="784"/>
      <c r="AS376" s="784"/>
      <c r="AT376" s="784"/>
      <c r="AU376" s="784"/>
      <c r="AV376" s="784"/>
      <c r="AW376" s="784"/>
      <c r="AX376" s="784"/>
      <c r="AY376" s="784"/>
      <c r="AZ376" s="784"/>
      <c r="BA376" s="784"/>
      <c r="BB376" s="784"/>
      <c r="BC376" s="784"/>
      <c r="BD376" s="784"/>
      <c r="BE376" s="784"/>
      <c r="BF376" s="784"/>
      <c r="BG376" s="784"/>
      <c r="BH376" s="784"/>
      <c r="BI376" s="784"/>
      <c r="BJ376" s="784"/>
      <c r="BK376" s="784"/>
      <c r="BL376" s="784"/>
      <c r="BM376" s="784"/>
      <c r="BN376" s="784"/>
      <c r="BO376" s="784"/>
      <c r="BP376" s="784"/>
      <c r="BQ376" s="784"/>
      <c r="BR376" s="784"/>
      <c r="BS376" s="784"/>
      <c r="BT376" s="784"/>
      <c r="BU376" s="784"/>
      <c r="BV376" s="784"/>
      <c r="BW376" s="784"/>
      <c r="BX376" s="784"/>
      <c r="BY376" s="784"/>
      <c r="BZ376" s="784"/>
    </row>
    <row r="377" spans="1:78" ht="14.25">
      <c r="A377" s="784"/>
      <c r="B377" s="784"/>
      <c r="C377" s="784"/>
      <c r="D377" s="784"/>
      <c r="E377" s="784"/>
      <c r="F377" s="784"/>
      <c r="G377" s="784"/>
      <c r="H377" s="784"/>
      <c r="I377" s="784"/>
      <c r="J377" s="784"/>
      <c r="K377" s="784"/>
      <c r="L377" s="784"/>
      <c r="M377" s="784"/>
      <c r="N377" s="784"/>
      <c r="O377" s="784"/>
      <c r="P377" s="784"/>
      <c r="Q377" s="784"/>
      <c r="R377" s="784"/>
      <c r="S377" s="784"/>
      <c r="T377" s="785"/>
      <c r="U377" s="784"/>
      <c r="V377" s="784"/>
      <c r="W377" s="784"/>
      <c r="X377" s="784"/>
      <c r="Y377" s="784"/>
      <c r="Z377" s="784"/>
      <c r="AA377" s="784"/>
      <c r="AB377" s="784"/>
      <c r="AC377" s="784"/>
      <c r="AD377" s="784"/>
      <c r="AE377" s="784"/>
      <c r="AF377" s="784"/>
      <c r="AG377" s="784"/>
      <c r="AH377" s="784"/>
      <c r="AI377" s="784"/>
      <c r="AJ377" s="784"/>
      <c r="AK377" s="784"/>
      <c r="AL377" s="784"/>
      <c r="AM377" s="784"/>
      <c r="AN377" s="784"/>
      <c r="AO377" s="784"/>
      <c r="AP377" s="784"/>
      <c r="AQ377" s="784"/>
      <c r="AR377" s="784"/>
      <c r="AS377" s="784"/>
      <c r="AT377" s="784"/>
      <c r="AU377" s="784"/>
      <c r="AV377" s="784"/>
      <c r="AW377" s="784"/>
      <c r="AX377" s="784"/>
      <c r="AY377" s="784"/>
      <c r="AZ377" s="784"/>
      <c r="BA377" s="784"/>
      <c r="BB377" s="784"/>
      <c r="BC377" s="784"/>
      <c r="BD377" s="784"/>
      <c r="BE377" s="784"/>
      <c r="BF377" s="784"/>
      <c r="BG377" s="784"/>
      <c r="BH377" s="784"/>
      <c r="BI377" s="784"/>
      <c r="BJ377" s="784"/>
      <c r="BK377" s="784"/>
      <c r="BL377" s="784"/>
      <c r="BM377" s="784"/>
      <c r="BN377" s="784"/>
      <c r="BO377" s="784"/>
      <c r="BP377" s="784"/>
      <c r="BQ377" s="784"/>
      <c r="BR377" s="784"/>
      <c r="BS377" s="784"/>
      <c r="BT377" s="784"/>
      <c r="BU377" s="784"/>
      <c r="BV377" s="784"/>
      <c r="BW377" s="784"/>
      <c r="BX377" s="784"/>
      <c r="BY377" s="784"/>
      <c r="BZ377" s="784"/>
    </row>
    <row r="378" spans="1:78" ht="14.25">
      <c r="A378" s="784"/>
      <c r="B378" s="784"/>
      <c r="C378" s="784"/>
      <c r="D378" s="784"/>
      <c r="E378" s="784"/>
      <c r="F378" s="784"/>
      <c r="G378" s="784"/>
      <c r="H378" s="784"/>
      <c r="I378" s="784"/>
      <c r="J378" s="784"/>
      <c r="K378" s="784"/>
      <c r="L378" s="784"/>
      <c r="M378" s="784"/>
      <c r="N378" s="784"/>
      <c r="O378" s="784"/>
      <c r="P378" s="784"/>
      <c r="Q378" s="784"/>
      <c r="R378" s="784"/>
      <c r="S378" s="784"/>
      <c r="T378" s="785"/>
      <c r="U378" s="784"/>
      <c r="V378" s="784"/>
      <c r="W378" s="784"/>
      <c r="X378" s="784"/>
      <c r="Y378" s="784"/>
      <c r="Z378" s="784"/>
      <c r="AA378" s="784"/>
      <c r="AB378" s="784"/>
      <c r="AC378" s="784"/>
      <c r="AD378" s="784"/>
      <c r="AE378" s="784"/>
      <c r="AF378" s="784"/>
      <c r="AG378" s="784"/>
      <c r="AH378" s="784"/>
      <c r="AI378" s="784"/>
      <c r="AJ378" s="784"/>
      <c r="AK378" s="784"/>
      <c r="AL378" s="784"/>
      <c r="AM378" s="784"/>
      <c r="AN378" s="784"/>
      <c r="AO378" s="784"/>
      <c r="AP378" s="784"/>
      <c r="AQ378" s="784"/>
      <c r="AR378" s="784"/>
      <c r="AS378" s="784"/>
      <c r="AT378" s="784"/>
      <c r="AU378" s="784"/>
      <c r="AV378" s="784"/>
      <c r="AW378" s="784"/>
      <c r="AX378" s="784"/>
      <c r="AY378" s="784"/>
      <c r="AZ378" s="784"/>
      <c r="BA378" s="784"/>
      <c r="BB378" s="784"/>
      <c r="BC378" s="784"/>
      <c r="BD378" s="784"/>
      <c r="BE378" s="784"/>
      <c r="BF378" s="784"/>
      <c r="BG378" s="784"/>
      <c r="BH378" s="784"/>
      <c r="BI378" s="784"/>
      <c r="BJ378" s="784"/>
      <c r="BK378" s="784"/>
      <c r="BL378" s="784"/>
      <c r="BM378" s="784"/>
      <c r="BN378" s="784"/>
      <c r="BO378" s="784"/>
      <c r="BP378" s="784"/>
      <c r="BQ378" s="784"/>
      <c r="BR378" s="784"/>
      <c r="BS378" s="784"/>
      <c r="BT378" s="784"/>
      <c r="BU378" s="784"/>
      <c r="BV378" s="784"/>
      <c r="BW378" s="784"/>
      <c r="BX378" s="784"/>
      <c r="BY378" s="784"/>
      <c r="BZ378" s="784"/>
    </row>
    <row r="379" spans="1:78" ht="14.25">
      <c r="A379" s="784"/>
      <c r="B379" s="784"/>
      <c r="C379" s="784"/>
      <c r="D379" s="784"/>
      <c r="E379" s="784"/>
      <c r="F379" s="784"/>
      <c r="G379" s="784"/>
      <c r="H379" s="784"/>
      <c r="I379" s="784"/>
      <c r="J379" s="784"/>
      <c r="K379" s="784"/>
      <c r="L379" s="784"/>
      <c r="M379" s="784"/>
      <c r="N379" s="784"/>
      <c r="O379" s="784"/>
      <c r="P379" s="784"/>
      <c r="Q379" s="784"/>
      <c r="R379" s="784"/>
      <c r="S379" s="784"/>
      <c r="T379" s="785"/>
      <c r="U379" s="784"/>
      <c r="V379" s="784"/>
      <c r="W379" s="784"/>
      <c r="X379" s="784"/>
      <c r="Y379" s="784"/>
      <c r="Z379" s="784"/>
      <c r="AA379" s="784"/>
      <c r="AB379" s="784"/>
      <c r="AC379" s="784"/>
      <c r="AD379" s="784"/>
      <c r="AE379" s="784"/>
      <c r="AF379" s="784"/>
      <c r="AG379" s="784"/>
      <c r="AH379" s="784"/>
      <c r="AI379" s="784"/>
      <c r="AJ379" s="784"/>
      <c r="AK379" s="784"/>
      <c r="AL379" s="784"/>
      <c r="AM379" s="784"/>
      <c r="AN379" s="784"/>
      <c r="AO379" s="784"/>
      <c r="AP379" s="784"/>
      <c r="AQ379" s="784"/>
      <c r="AR379" s="784"/>
      <c r="AS379" s="784"/>
      <c r="AT379" s="784"/>
      <c r="AU379" s="784"/>
      <c r="AV379" s="784"/>
      <c r="AW379" s="784"/>
      <c r="AX379" s="784"/>
      <c r="AY379" s="784"/>
      <c r="AZ379" s="784"/>
      <c r="BA379" s="784"/>
      <c r="BB379" s="784"/>
      <c r="BC379" s="784"/>
      <c r="BD379" s="784"/>
      <c r="BE379" s="784"/>
      <c r="BF379" s="784"/>
      <c r="BG379" s="784"/>
      <c r="BH379" s="784"/>
      <c r="BI379" s="784"/>
      <c r="BJ379" s="784"/>
      <c r="BK379" s="784"/>
      <c r="BL379" s="784"/>
      <c r="BM379" s="784"/>
      <c r="BN379" s="784"/>
      <c r="BO379" s="784"/>
      <c r="BP379" s="784"/>
      <c r="BQ379" s="784"/>
      <c r="BR379" s="784"/>
      <c r="BS379" s="784"/>
      <c r="BT379" s="784"/>
      <c r="BU379" s="784"/>
      <c r="BV379" s="784"/>
      <c r="BW379" s="784"/>
      <c r="BX379" s="784"/>
      <c r="BY379" s="784"/>
      <c r="BZ379" s="784"/>
    </row>
    <row r="380" spans="1:78" ht="14.25">
      <c r="A380" s="784"/>
      <c r="B380" s="784"/>
      <c r="C380" s="784"/>
      <c r="D380" s="784"/>
      <c r="E380" s="784"/>
      <c r="F380" s="784"/>
      <c r="G380" s="784"/>
      <c r="H380" s="784"/>
      <c r="I380" s="784"/>
      <c r="J380" s="784"/>
      <c r="K380" s="784"/>
      <c r="L380" s="784"/>
      <c r="M380" s="784"/>
      <c r="N380" s="784"/>
      <c r="O380" s="784"/>
      <c r="P380" s="784"/>
      <c r="Q380" s="784"/>
      <c r="R380" s="784"/>
      <c r="S380" s="784"/>
      <c r="T380" s="785"/>
      <c r="U380" s="784"/>
      <c r="V380" s="784"/>
      <c r="W380" s="784"/>
      <c r="X380" s="784"/>
      <c r="Y380" s="784"/>
      <c r="Z380" s="784"/>
      <c r="AA380" s="784"/>
      <c r="AB380" s="784"/>
      <c r="AC380" s="784"/>
      <c r="AD380" s="784"/>
      <c r="AE380" s="784"/>
      <c r="AF380" s="784"/>
      <c r="AG380" s="784"/>
      <c r="AH380" s="784"/>
      <c r="AI380" s="784"/>
      <c r="AJ380" s="784"/>
      <c r="AK380" s="784"/>
      <c r="AL380" s="784"/>
      <c r="AM380" s="784"/>
      <c r="AN380" s="784"/>
      <c r="AO380" s="784"/>
      <c r="AP380" s="784"/>
      <c r="AQ380" s="784"/>
      <c r="AR380" s="784"/>
      <c r="AS380" s="784"/>
      <c r="AT380" s="784"/>
      <c r="AU380" s="784"/>
      <c r="AV380" s="784"/>
      <c r="AW380" s="784"/>
      <c r="AX380" s="784"/>
      <c r="AY380" s="784"/>
      <c r="AZ380" s="784"/>
      <c r="BA380" s="784"/>
      <c r="BB380" s="784"/>
      <c r="BC380" s="784"/>
      <c r="BD380" s="784"/>
      <c r="BE380" s="784"/>
      <c r="BF380" s="784"/>
      <c r="BG380" s="784"/>
      <c r="BH380" s="784"/>
      <c r="BI380" s="784"/>
      <c r="BJ380" s="784"/>
      <c r="BK380" s="784"/>
      <c r="BL380" s="784"/>
      <c r="BM380" s="784"/>
      <c r="BN380" s="784"/>
      <c r="BO380" s="784"/>
      <c r="BP380" s="784"/>
      <c r="BQ380" s="784"/>
      <c r="BR380" s="784"/>
      <c r="BS380" s="784"/>
      <c r="BT380" s="784"/>
      <c r="BU380" s="784"/>
      <c r="BV380" s="784"/>
      <c r="BW380" s="784"/>
      <c r="BX380" s="784"/>
      <c r="BY380" s="784"/>
      <c r="BZ380" s="784"/>
    </row>
    <row r="381" spans="1:78" ht="14.25">
      <c r="A381" s="784"/>
      <c r="B381" s="784"/>
      <c r="C381" s="784"/>
      <c r="D381" s="784"/>
      <c r="E381" s="784"/>
      <c r="F381" s="784"/>
      <c r="G381" s="784"/>
      <c r="H381" s="784"/>
      <c r="I381" s="784"/>
      <c r="J381" s="784"/>
      <c r="K381" s="784"/>
      <c r="L381" s="784"/>
      <c r="M381" s="784"/>
      <c r="N381" s="784"/>
      <c r="O381" s="784"/>
      <c r="P381" s="784"/>
      <c r="Q381" s="784"/>
      <c r="R381" s="784"/>
      <c r="S381" s="784"/>
      <c r="T381" s="785"/>
      <c r="U381" s="784"/>
      <c r="V381" s="784"/>
      <c r="W381" s="784"/>
      <c r="X381" s="784"/>
      <c r="Y381" s="784"/>
      <c r="Z381" s="784"/>
      <c r="AA381" s="784"/>
      <c r="AB381" s="784"/>
      <c r="AC381" s="784"/>
      <c r="AD381" s="784"/>
      <c r="AE381" s="784"/>
      <c r="AF381" s="784"/>
      <c r="AG381" s="784"/>
      <c r="AH381" s="784"/>
      <c r="AI381" s="784"/>
      <c r="AJ381" s="784"/>
      <c r="AK381" s="784"/>
      <c r="AL381" s="784"/>
      <c r="AM381" s="784"/>
      <c r="AN381" s="784"/>
      <c r="AO381" s="784"/>
      <c r="AP381" s="784"/>
      <c r="AQ381" s="784"/>
      <c r="AR381" s="784"/>
      <c r="AS381" s="784"/>
      <c r="AT381" s="784"/>
      <c r="AU381" s="784"/>
      <c r="AV381" s="784"/>
      <c r="AW381" s="784"/>
      <c r="AX381" s="784"/>
      <c r="AY381" s="784"/>
      <c r="AZ381" s="784"/>
      <c r="BA381" s="784"/>
      <c r="BB381" s="784"/>
      <c r="BC381" s="784"/>
      <c r="BD381" s="784"/>
      <c r="BE381" s="784"/>
      <c r="BF381" s="784"/>
      <c r="BG381" s="784"/>
      <c r="BH381" s="784"/>
      <c r="BI381" s="784"/>
      <c r="BJ381" s="784"/>
      <c r="BK381" s="784"/>
      <c r="BL381" s="784"/>
      <c r="BM381" s="784"/>
      <c r="BN381" s="784"/>
      <c r="BO381" s="784"/>
      <c r="BP381" s="784"/>
      <c r="BQ381" s="784"/>
      <c r="BR381" s="784"/>
      <c r="BS381" s="784"/>
      <c r="BT381" s="784"/>
      <c r="BU381" s="784"/>
      <c r="BV381" s="784"/>
      <c r="BW381" s="784"/>
      <c r="BX381" s="784"/>
      <c r="BY381" s="784"/>
      <c r="BZ381" s="784"/>
    </row>
    <row r="382" spans="1:78" ht="14.25">
      <c r="A382" s="784"/>
      <c r="B382" s="784"/>
      <c r="C382" s="784"/>
      <c r="D382" s="784"/>
      <c r="E382" s="784"/>
      <c r="F382" s="784"/>
      <c r="G382" s="784"/>
      <c r="H382" s="784"/>
      <c r="I382" s="784"/>
      <c r="J382" s="784"/>
      <c r="K382" s="784"/>
      <c r="L382" s="784"/>
      <c r="M382" s="784"/>
      <c r="N382" s="784"/>
      <c r="O382" s="784"/>
      <c r="P382" s="784"/>
      <c r="Q382" s="784"/>
      <c r="R382" s="784"/>
      <c r="S382" s="784"/>
      <c r="T382" s="785"/>
      <c r="U382" s="784"/>
      <c r="V382" s="784"/>
      <c r="W382" s="784"/>
      <c r="X382" s="784"/>
      <c r="Y382" s="784"/>
      <c r="Z382" s="784"/>
      <c r="AA382" s="784"/>
      <c r="AB382" s="784"/>
      <c r="AC382" s="784"/>
      <c r="AD382" s="784"/>
      <c r="AE382" s="784"/>
      <c r="AF382" s="784"/>
      <c r="AG382" s="784"/>
      <c r="AH382" s="784"/>
      <c r="AI382" s="784"/>
      <c r="AJ382" s="784"/>
      <c r="AK382" s="784"/>
      <c r="AL382" s="784"/>
      <c r="AM382" s="784"/>
      <c r="AN382" s="784"/>
      <c r="AO382" s="784"/>
      <c r="AP382" s="784"/>
      <c r="AQ382" s="784"/>
      <c r="AR382" s="784"/>
      <c r="AS382" s="784"/>
      <c r="AT382" s="784"/>
      <c r="AU382" s="784"/>
      <c r="AV382" s="784"/>
      <c r="AW382" s="784"/>
      <c r="AX382" s="784"/>
      <c r="AY382" s="784"/>
      <c r="AZ382" s="784"/>
      <c r="BA382" s="784"/>
      <c r="BB382" s="784"/>
      <c r="BC382" s="784"/>
      <c r="BD382" s="784"/>
      <c r="BE382" s="784"/>
      <c r="BF382" s="784"/>
      <c r="BG382" s="784"/>
      <c r="BH382" s="784"/>
      <c r="BI382" s="784"/>
      <c r="BJ382" s="784"/>
      <c r="BK382" s="784"/>
      <c r="BL382" s="784"/>
      <c r="BM382" s="784"/>
      <c r="BN382" s="784"/>
      <c r="BO382" s="784"/>
      <c r="BP382" s="784"/>
      <c r="BQ382" s="784"/>
      <c r="BR382" s="784"/>
      <c r="BS382" s="784"/>
      <c r="BT382" s="784"/>
      <c r="BU382" s="784"/>
      <c r="BV382" s="784"/>
      <c r="BW382" s="784"/>
      <c r="BX382" s="784"/>
      <c r="BY382" s="784"/>
      <c r="BZ382" s="784"/>
    </row>
    <row r="383" spans="1:78" ht="14.25">
      <c r="A383" s="784"/>
      <c r="B383" s="784"/>
      <c r="C383" s="784"/>
      <c r="D383" s="784"/>
      <c r="E383" s="784"/>
      <c r="F383" s="784"/>
      <c r="G383" s="784"/>
      <c r="H383" s="784"/>
      <c r="I383" s="784"/>
      <c r="J383" s="784"/>
      <c r="K383" s="784"/>
      <c r="L383" s="784"/>
      <c r="M383" s="784"/>
      <c r="N383" s="784"/>
      <c r="O383" s="784"/>
      <c r="P383" s="784"/>
      <c r="Q383" s="784"/>
      <c r="R383" s="784"/>
      <c r="S383" s="784"/>
      <c r="T383" s="785"/>
      <c r="U383" s="784"/>
      <c r="V383" s="784"/>
      <c r="W383" s="784"/>
      <c r="X383" s="784"/>
      <c r="Y383" s="784"/>
      <c r="Z383" s="784"/>
      <c r="AA383" s="784"/>
      <c r="AB383" s="784"/>
      <c r="AC383" s="784"/>
      <c r="AD383" s="784"/>
      <c r="AE383" s="784"/>
      <c r="AF383" s="784"/>
      <c r="AG383" s="784"/>
      <c r="AH383" s="784"/>
      <c r="AI383" s="784"/>
      <c r="AJ383" s="784"/>
      <c r="AK383" s="784"/>
      <c r="AL383" s="784"/>
      <c r="AM383" s="784"/>
      <c r="AN383" s="784"/>
      <c r="AO383" s="784"/>
      <c r="AP383" s="784"/>
      <c r="AQ383" s="784"/>
      <c r="AR383" s="784"/>
      <c r="AS383" s="784"/>
      <c r="AT383" s="784"/>
      <c r="AU383" s="784"/>
      <c r="AV383" s="784"/>
      <c r="AW383" s="784"/>
      <c r="AX383" s="784"/>
      <c r="AY383" s="784"/>
      <c r="AZ383" s="784"/>
      <c r="BA383" s="784"/>
      <c r="BB383" s="784"/>
      <c r="BC383" s="784"/>
      <c r="BD383" s="784"/>
      <c r="BE383" s="784"/>
      <c r="BF383" s="784"/>
      <c r="BG383" s="784"/>
      <c r="BH383" s="784"/>
      <c r="BI383" s="784"/>
      <c r="BJ383" s="784"/>
      <c r="BK383" s="784"/>
      <c r="BL383" s="784"/>
      <c r="BM383" s="784"/>
      <c r="BN383" s="784"/>
      <c r="BO383" s="784"/>
      <c r="BP383" s="784"/>
      <c r="BQ383" s="784"/>
      <c r="BR383" s="784"/>
      <c r="BS383" s="784"/>
      <c r="BT383" s="784"/>
      <c r="BU383" s="784"/>
      <c r="BV383" s="784"/>
      <c r="BW383" s="784"/>
      <c r="BX383" s="784"/>
      <c r="BY383" s="784"/>
      <c r="BZ383" s="784"/>
    </row>
    <row r="384" spans="1:78" ht="14.25">
      <c r="A384" s="784"/>
      <c r="B384" s="784"/>
      <c r="C384" s="784"/>
      <c r="D384" s="784"/>
      <c r="E384" s="784"/>
      <c r="F384" s="784"/>
      <c r="G384" s="784"/>
      <c r="H384" s="784"/>
      <c r="I384" s="784"/>
      <c r="J384" s="784"/>
      <c r="K384" s="784"/>
      <c r="L384" s="784"/>
      <c r="M384" s="784"/>
      <c r="N384" s="784"/>
      <c r="O384" s="784"/>
      <c r="P384" s="784"/>
      <c r="Q384" s="784"/>
      <c r="R384" s="784"/>
      <c r="S384" s="784"/>
      <c r="T384" s="785"/>
      <c r="U384" s="784"/>
      <c r="V384" s="784"/>
      <c r="W384" s="784"/>
      <c r="X384" s="784"/>
      <c r="Y384" s="784"/>
      <c r="Z384" s="784"/>
      <c r="AA384" s="784"/>
      <c r="AB384" s="784"/>
      <c r="AC384" s="784"/>
      <c r="AD384" s="784"/>
      <c r="AE384" s="784"/>
      <c r="AF384" s="784"/>
      <c r="AG384" s="784"/>
      <c r="AH384" s="784"/>
      <c r="AI384" s="784"/>
      <c r="AJ384" s="784"/>
      <c r="AK384" s="784"/>
      <c r="AL384" s="784"/>
      <c r="AM384" s="784"/>
      <c r="AN384" s="784"/>
      <c r="AO384" s="784"/>
      <c r="AP384" s="784"/>
      <c r="AQ384" s="784"/>
      <c r="AR384" s="784"/>
      <c r="AS384" s="784"/>
      <c r="AT384" s="784"/>
      <c r="AU384" s="784"/>
      <c r="AV384" s="784"/>
      <c r="AW384" s="784"/>
      <c r="AX384" s="784"/>
      <c r="AY384" s="784"/>
      <c r="AZ384" s="784"/>
      <c r="BA384" s="784"/>
      <c r="BB384" s="784"/>
      <c r="BC384" s="784"/>
      <c r="BD384" s="784"/>
      <c r="BE384" s="784"/>
      <c r="BF384" s="784"/>
      <c r="BG384" s="784"/>
      <c r="BH384" s="784"/>
      <c r="BI384" s="784"/>
      <c r="BJ384" s="784"/>
      <c r="BK384" s="784"/>
      <c r="BL384" s="784"/>
      <c r="BM384" s="784"/>
      <c r="BN384" s="784"/>
      <c r="BO384" s="784"/>
      <c r="BP384" s="784"/>
      <c r="BQ384" s="784"/>
      <c r="BR384" s="784"/>
      <c r="BS384" s="784"/>
      <c r="BT384" s="784"/>
      <c r="BU384" s="784"/>
      <c r="BV384" s="784"/>
      <c r="BW384" s="784"/>
      <c r="BX384" s="784"/>
      <c r="BY384" s="784"/>
      <c r="BZ384" s="784"/>
    </row>
    <row r="385" spans="1:78" ht="14.25">
      <c r="A385" s="784"/>
      <c r="B385" s="784"/>
      <c r="C385" s="784"/>
      <c r="D385" s="784"/>
      <c r="E385" s="784"/>
      <c r="F385" s="784"/>
      <c r="G385" s="784"/>
      <c r="H385" s="784"/>
      <c r="I385" s="784"/>
      <c r="J385" s="784"/>
      <c r="K385" s="784"/>
      <c r="L385" s="784"/>
      <c r="M385" s="784"/>
      <c r="N385" s="784"/>
      <c r="O385" s="784"/>
      <c r="P385" s="784"/>
      <c r="Q385" s="784"/>
      <c r="R385" s="784"/>
      <c r="S385" s="784"/>
      <c r="T385" s="785"/>
      <c r="U385" s="784"/>
      <c r="V385" s="784"/>
      <c r="W385" s="784"/>
      <c r="X385" s="784"/>
      <c r="Y385" s="784"/>
      <c r="Z385" s="784"/>
      <c r="AA385" s="784"/>
      <c r="AB385" s="784"/>
      <c r="AC385" s="784"/>
      <c r="AD385" s="784"/>
      <c r="AE385" s="784"/>
      <c r="AF385" s="784"/>
      <c r="AG385" s="784"/>
      <c r="AH385" s="784"/>
      <c r="AI385" s="784"/>
      <c r="AJ385" s="784"/>
      <c r="AK385" s="784"/>
      <c r="AL385" s="784"/>
      <c r="AM385" s="784"/>
      <c r="AN385" s="784"/>
      <c r="AO385" s="784"/>
      <c r="AP385" s="784"/>
      <c r="AQ385" s="784"/>
      <c r="AR385" s="784"/>
      <c r="AS385" s="784"/>
      <c r="AT385" s="784"/>
      <c r="AU385" s="784"/>
      <c r="AV385" s="784"/>
      <c r="AW385" s="784"/>
      <c r="AX385" s="784"/>
      <c r="AY385" s="784"/>
      <c r="AZ385" s="784"/>
      <c r="BA385" s="784"/>
      <c r="BB385" s="784"/>
      <c r="BC385" s="784"/>
      <c r="BD385" s="784"/>
      <c r="BE385" s="784"/>
      <c r="BF385" s="784"/>
      <c r="BG385" s="784"/>
      <c r="BH385" s="784"/>
      <c r="BI385" s="784"/>
      <c r="BJ385" s="784"/>
      <c r="BK385" s="784"/>
      <c r="BL385" s="784"/>
      <c r="BM385" s="784"/>
      <c r="BN385" s="784"/>
      <c r="BO385" s="784"/>
      <c r="BP385" s="784"/>
      <c r="BQ385" s="784"/>
      <c r="BR385" s="784"/>
      <c r="BS385" s="784"/>
      <c r="BT385" s="784"/>
      <c r="BU385" s="784"/>
      <c r="BV385" s="784"/>
      <c r="BW385" s="784"/>
      <c r="BX385" s="784"/>
      <c r="BY385" s="784"/>
      <c r="BZ385" s="784"/>
    </row>
    <row r="386" spans="1:78" ht="14.25">
      <c r="A386" s="784"/>
      <c r="B386" s="784"/>
      <c r="C386" s="784"/>
      <c r="D386" s="784"/>
      <c r="E386" s="784"/>
      <c r="F386" s="784"/>
      <c r="G386" s="784"/>
      <c r="H386" s="784"/>
      <c r="I386" s="784"/>
      <c r="J386" s="784"/>
      <c r="K386" s="784"/>
      <c r="L386" s="784"/>
      <c r="M386" s="784"/>
      <c r="N386" s="784"/>
      <c r="O386" s="784"/>
      <c r="P386" s="784"/>
      <c r="Q386" s="784"/>
      <c r="R386" s="784"/>
      <c r="S386" s="784"/>
      <c r="T386" s="785"/>
      <c r="U386" s="784"/>
      <c r="V386" s="784"/>
      <c r="W386" s="784"/>
      <c r="X386" s="784"/>
      <c r="Y386" s="784"/>
      <c r="Z386" s="784"/>
      <c r="AA386" s="784"/>
      <c r="AB386" s="784"/>
      <c r="AC386" s="784"/>
      <c r="AD386" s="784"/>
      <c r="AE386" s="784"/>
      <c r="AF386" s="784"/>
      <c r="AG386" s="784"/>
      <c r="AH386" s="784"/>
      <c r="AI386" s="784"/>
      <c r="AJ386" s="784"/>
      <c r="AK386" s="784"/>
      <c r="AL386" s="784"/>
      <c r="AM386" s="784"/>
      <c r="AN386" s="784"/>
      <c r="AO386" s="784"/>
      <c r="AP386" s="784"/>
      <c r="AQ386" s="784"/>
      <c r="AR386" s="784"/>
      <c r="AS386" s="784"/>
      <c r="AT386" s="784"/>
      <c r="AU386" s="784"/>
      <c r="AV386" s="784"/>
      <c r="AW386" s="784"/>
      <c r="AX386" s="784"/>
      <c r="AY386" s="784"/>
      <c r="AZ386" s="784"/>
      <c r="BA386" s="784"/>
      <c r="BB386" s="784"/>
      <c r="BC386" s="784"/>
      <c r="BD386" s="784"/>
      <c r="BE386" s="784"/>
      <c r="BF386" s="784"/>
      <c r="BG386" s="784"/>
      <c r="BH386" s="784"/>
      <c r="BI386" s="784"/>
      <c r="BJ386" s="784"/>
      <c r="BK386" s="784"/>
      <c r="BL386" s="784"/>
      <c r="BM386" s="784"/>
      <c r="BN386" s="784"/>
      <c r="BO386" s="784"/>
      <c r="BP386" s="784"/>
      <c r="BQ386" s="784"/>
      <c r="BR386" s="784"/>
      <c r="BS386" s="784"/>
      <c r="BT386" s="784"/>
      <c r="BU386" s="784"/>
      <c r="BV386" s="784"/>
      <c r="BW386" s="784"/>
      <c r="BX386" s="784"/>
      <c r="BY386" s="784"/>
      <c r="BZ386" s="784"/>
    </row>
    <row r="387" spans="1:78" ht="14.25">
      <c r="A387" s="784"/>
      <c r="B387" s="784"/>
      <c r="C387" s="784"/>
      <c r="D387" s="784"/>
      <c r="E387" s="784"/>
      <c r="F387" s="784"/>
      <c r="G387" s="784"/>
      <c r="H387" s="784"/>
      <c r="I387" s="784"/>
      <c r="J387" s="784"/>
      <c r="K387" s="784"/>
      <c r="L387" s="784"/>
      <c r="M387" s="784"/>
      <c r="N387" s="784"/>
      <c r="O387" s="784"/>
      <c r="P387" s="784"/>
      <c r="Q387" s="784"/>
      <c r="R387" s="784"/>
      <c r="S387" s="784"/>
      <c r="T387" s="785"/>
      <c r="U387" s="784"/>
      <c r="V387" s="784"/>
      <c r="W387" s="784"/>
      <c r="X387" s="784"/>
      <c r="Y387" s="784"/>
      <c r="Z387" s="784"/>
      <c r="AA387" s="784"/>
      <c r="AB387" s="784"/>
      <c r="AC387" s="784"/>
      <c r="AD387" s="784"/>
      <c r="AE387" s="784"/>
      <c r="AF387" s="784"/>
      <c r="AG387" s="784"/>
      <c r="AH387" s="784"/>
      <c r="AI387" s="784"/>
      <c r="AJ387" s="784"/>
      <c r="AK387" s="784"/>
      <c r="AL387" s="784"/>
      <c r="AM387" s="784"/>
      <c r="AN387" s="784"/>
      <c r="AO387" s="784"/>
      <c r="AP387" s="784"/>
      <c r="AQ387" s="784"/>
      <c r="AR387" s="784"/>
      <c r="AS387" s="784"/>
      <c r="AT387" s="784"/>
      <c r="AU387" s="784"/>
      <c r="AV387" s="784"/>
      <c r="AW387" s="784"/>
      <c r="AX387" s="784"/>
      <c r="AY387" s="784"/>
      <c r="AZ387" s="784"/>
      <c r="BA387" s="784"/>
      <c r="BB387" s="784"/>
      <c r="BC387" s="784"/>
      <c r="BD387" s="784"/>
      <c r="BE387" s="784"/>
      <c r="BF387" s="784"/>
      <c r="BG387" s="784"/>
      <c r="BH387" s="784"/>
      <c r="BI387" s="784"/>
      <c r="BJ387" s="784"/>
      <c r="BK387" s="784"/>
      <c r="BL387" s="784"/>
      <c r="BM387" s="784"/>
      <c r="BN387" s="784"/>
      <c r="BO387" s="784"/>
      <c r="BP387" s="784"/>
      <c r="BQ387" s="784"/>
      <c r="BR387" s="784"/>
      <c r="BS387" s="784"/>
      <c r="BT387" s="784"/>
      <c r="BU387" s="784"/>
      <c r="BV387" s="784"/>
      <c r="BW387" s="784"/>
      <c r="BX387" s="784"/>
      <c r="BY387" s="784"/>
      <c r="BZ387" s="784"/>
    </row>
    <row r="388" spans="1:78" ht="14.25">
      <c r="A388" s="784"/>
      <c r="B388" s="784"/>
      <c r="C388" s="784"/>
      <c r="D388" s="784"/>
      <c r="E388" s="784"/>
      <c r="F388" s="784"/>
      <c r="G388" s="784"/>
      <c r="H388" s="784"/>
      <c r="I388" s="784"/>
      <c r="J388" s="784"/>
      <c r="K388" s="784"/>
      <c r="L388" s="784"/>
      <c r="M388" s="784"/>
      <c r="N388" s="784"/>
      <c r="O388" s="784"/>
      <c r="P388" s="784"/>
      <c r="Q388" s="784"/>
      <c r="R388" s="784"/>
      <c r="S388" s="784"/>
      <c r="T388" s="785"/>
      <c r="U388" s="784"/>
      <c r="V388" s="784"/>
      <c r="W388" s="784"/>
      <c r="X388" s="784"/>
      <c r="Y388" s="784"/>
      <c r="Z388" s="784"/>
      <c r="AA388" s="784"/>
      <c r="AB388" s="784"/>
      <c r="AC388" s="784"/>
      <c r="AD388" s="784"/>
      <c r="AE388" s="784"/>
      <c r="AF388" s="784"/>
      <c r="AG388" s="784"/>
      <c r="AH388" s="784"/>
      <c r="AI388" s="784"/>
      <c r="AJ388" s="784"/>
      <c r="AK388" s="784"/>
      <c r="AL388" s="784"/>
      <c r="AM388" s="784"/>
      <c r="AN388" s="784"/>
      <c r="AO388" s="784"/>
      <c r="AP388" s="784"/>
      <c r="AQ388" s="784"/>
      <c r="AR388" s="784"/>
      <c r="AS388" s="784"/>
      <c r="AT388" s="784"/>
      <c r="AU388" s="784"/>
      <c r="AV388" s="784"/>
      <c r="AW388" s="784"/>
      <c r="AX388" s="784"/>
      <c r="AY388" s="784"/>
      <c r="AZ388" s="784"/>
      <c r="BA388" s="784"/>
      <c r="BB388" s="784"/>
      <c r="BC388" s="784"/>
      <c r="BD388" s="784"/>
      <c r="BE388" s="784"/>
      <c r="BF388" s="784"/>
      <c r="BG388" s="784"/>
      <c r="BH388" s="784"/>
      <c r="BI388" s="784"/>
      <c r="BJ388" s="784"/>
      <c r="BK388" s="784"/>
      <c r="BL388" s="784"/>
      <c r="BM388" s="784"/>
      <c r="BN388" s="784"/>
      <c r="BO388" s="784"/>
      <c r="BP388" s="784"/>
      <c r="BQ388" s="784"/>
      <c r="BR388" s="784"/>
      <c r="BS388" s="784"/>
      <c r="BT388" s="784"/>
      <c r="BU388" s="784"/>
      <c r="BV388" s="784"/>
      <c r="BW388" s="784"/>
      <c r="BX388" s="784"/>
      <c r="BY388" s="784"/>
      <c r="BZ388" s="784"/>
    </row>
    <row r="389" spans="1:78" ht="14.25">
      <c r="A389" s="784"/>
      <c r="B389" s="784"/>
      <c r="C389" s="784"/>
      <c r="D389" s="784"/>
      <c r="E389" s="784"/>
      <c r="F389" s="784"/>
      <c r="G389" s="784"/>
      <c r="H389" s="784"/>
      <c r="I389" s="784"/>
      <c r="J389" s="784"/>
      <c r="K389" s="784"/>
      <c r="L389" s="784"/>
      <c r="M389" s="784"/>
      <c r="N389" s="784"/>
      <c r="O389" s="784"/>
      <c r="P389" s="784"/>
      <c r="Q389" s="784"/>
      <c r="R389" s="784"/>
      <c r="S389" s="784"/>
      <c r="T389" s="785"/>
      <c r="U389" s="784"/>
      <c r="V389" s="784"/>
      <c r="W389" s="784"/>
      <c r="X389" s="784"/>
      <c r="Y389" s="784"/>
      <c r="Z389" s="784"/>
      <c r="AA389" s="784"/>
      <c r="AB389" s="784"/>
      <c r="AC389" s="784"/>
      <c r="AD389" s="784"/>
      <c r="AE389" s="784"/>
      <c r="AF389" s="784"/>
      <c r="AG389" s="784"/>
      <c r="AH389" s="784"/>
      <c r="AI389" s="784"/>
      <c r="AJ389" s="784"/>
      <c r="AK389" s="784"/>
      <c r="AL389" s="784"/>
      <c r="AM389" s="784"/>
      <c r="AN389" s="784"/>
      <c r="AO389" s="784"/>
      <c r="AP389" s="784"/>
      <c r="AQ389" s="784"/>
      <c r="AR389" s="784"/>
      <c r="AS389" s="784"/>
      <c r="AT389" s="784"/>
      <c r="AU389" s="784"/>
      <c r="AV389" s="784"/>
      <c r="AW389" s="784"/>
      <c r="AX389" s="784"/>
      <c r="AY389" s="784"/>
      <c r="AZ389" s="784"/>
      <c r="BA389" s="784"/>
      <c r="BB389" s="784"/>
      <c r="BC389" s="784"/>
      <c r="BD389" s="784"/>
      <c r="BE389" s="784"/>
      <c r="BF389" s="784"/>
      <c r="BG389" s="784"/>
      <c r="BH389" s="784"/>
      <c r="BI389" s="784"/>
      <c r="BJ389" s="784"/>
      <c r="BK389" s="784"/>
      <c r="BL389" s="784"/>
      <c r="BM389" s="784"/>
      <c r="BN389" s="784"/>
      <c r="BO389" s="784"/>
      <c r="BP389" s="784"/>
      <c r="BQ389" s="784"/>
      <c r="BR389" s="784"/>
      <c r="BS389" s="784"/>
      <c r="BT389" s="784"/>
      <c r="BU389" s="784"/>
      <c r="BV389" s="784"/>
      <c r="BW389" s="784"/>
      <c r="BX389" s="784"/>
      <c r="BY389" s="784"/>
      <c r="BZ389" s="784"/>
    </row>
    <row r="390" spans="1:78" ht="14.25">
      <c r="A390" s="784"/>
      <c r="B390" s="784"/>
      <c r="C390" s="784"/>
      <c r="D390" s="784"/>
      <c r="E390" s="784"/>
      <c r="F390" s="784"/>
      <c r="G390" s="784"/>
      <c r="H390" s="784"/>
      <c r="I390" s="784"/>
      <c r="J390" s="784"/>
      <c r="K390" s="784"/>
      <c r="L390" s="784"/>
      <c r="M390" s="784"/>
      <c r="N390" s="784"/>
      <c r="O390" s="784"/>
      <c r="P390" s="784"/>
      <c r="Q390" s="784"/>
      <c r="R390" s="784"/>
      <c r="S390" s="784"/>
      <c r="T390" s="785"/>
      <c r="U390" s="784"/>
      <c r="V390" s="784"/>
      <c r="W390" s="784"/>
      <c r="X390" s="784"/>
      <c r="Y390" s="784"/>
      <c r="Z390" s="784"/>
      <c r="AA390" s="784"/>
      <c r="AB390" s="784"/>
      <c r="AC390" s="784"/>
      <c r="AD390" s="784"/>
      <c r="AE390" s="784"/>
      <c r="AF390" s="784"/>
      <c r="AG390" s="784"/>
      <c r="AH390" s="784"/>
      <c r="AI390" s="784"/>
      <c r="AJ390" s="784"/>
      <c r="AK390" s="784"/>
      <c r="AL390" s="784"/>
      <c r="AM390" s="784"/>
      <c r="AN390" s="784"/>
      <c r="AO390" s="784"/>
      <c r="AP390" s="784"/>
      <c r="AQ390" s="784"/>
      <c r="AR390" s="784"/>
      <c r="AS390" s="784"/>
      <c r="AT390" s="784"/>
      <c r="AU390" s="784"/>
      <c r="AV390" s="784"/>
      <c r="AW390" s="784"/>
      <c r="AX390" s="784"/>
      <c r="AY390" s="784"/>
      <c r="AZ390" s="784"/>
      <c r="BA390" s="784"/>
      <c r="BB390" s="784"/>
      <c r="BC390" s="784"/>
      <c r="BD390" s="784"/>
      <c r="BE390" s="784"/>
      <c r="BF390" s="784"/>
      <c r="BG390" s="784"/>
      <c r="BH390" s="784"/>
      <c r="BI390" s="784"/>
      <c r="BJ390" s="784"/>
      <c r="BK390" s="784"/>
      <c r="BL390" s="784"/>
      <c r="BM390" s="784"/>
      <c r="BN390" s="784"/>
      <c r="BO390" s="784"/>
      <c r="BP390" s="784"/>
      <c r="BQ390" s="784"/>
      <c r="BR390" s="784"/>
      <c r="BS390" s="784"/>
      <c r="BT390" s="784"/>
      <c r="BU390" s="784"/>
      <c r="BV390" s="784"/>
      <c r="BW390" s="784"/>
      <c r="BX390" s="784"/>
      <c r="BY390" s="784"/>
      <c r="BZ390" s="784"/>
    </row>
    <row r="391" spans="1:78" ht="14.25">
      <c r="A391" s="784"/>
      <c r="B391" s="784"/>
      <c r="C391" s="784"/>
      <c r="D391" s="784"/>
      <c r="E391" s="784"/>
      <c r="F391" s="784"/>
      <c r="G391" s="784"/>
      <c r="H391" s="784"/>
      <c r="I391" s="784"/>
      <c r="J391" s="784"/>
      <c r="K391" s="784"/>
      <c r="L391" s="784"/>
      <c r="M391" s="784"/>
      <c r="N391" s="784"/>
      <c r="O391" s="784"/>
      <c r="P391" s="784"/>
      <c r="Q391" s="784"/>
      <c r="R391" s="784"/>
      <c r="S391" s="784"/>
      <c r="T391" s="785"/>
      <c r="U391" s="784"/>
      <c r="V391" s="784"/>
      <c r="W391" s="784"/>
      <c r="X391" s="784"/>
      <c r="Y391" s="784"/>
      <c r="Z391" s="784"/>
      <c r="AA391" s="784"/>
      <c r="AB391" s="784"/>
      <c r="AC391" s="784"/>
      <c r="AD391" s="784"/>
      <c r="AE391" s="784"/>
      <c r="AF391" s="784"/>
      <c r="AG391" s="784"/>
      <c r="AH391" s="784"/>
      <c r="AI391" s="784"/>
      <c r="AJ391" s="784"/>
      <c r="AK391" s="784"/>
      <c r="AL391" s="784"/>
      <c r="AM391" s="784"/>
      <c r="AN391" s="784"/>
      <c r="AO391" s="784"/>
      <c r="AP391" s="784"/>
      <c r="AQ391" s="784"/>
      <c r="AR391" s="784"/>
      <c r="AS391" s="784"/>
      <c r="AT391" s="784"/>
      <c r="AU391" s="784"/>
      <c r="AV391" s="784"/>
      <c r="AW391" s="784"/>
      <c r="AX391" s="784"/>
      <c r="AY391" s="784"/>
      <c r="AZ391" s="784"/>
      <c r="BA391" s="784"/>
      <c r="BB391" s="784"/>
      <c r="BC391" s="784"/>
      <c r="BD391" s="784"/>
      <c r="BE391" s="784"/>
      <c r="BF391" s="784"/>
      <c r="BG391" s="784"/>
      <c r="BH391" s="784"/>
      <c r="BI391" s="784"/>
      <c r="BJ391" s="784"/>
      <c r="BK391" s="784"/>
      <c r="BL391" s="784"/>
      <c r="BM391" s="784"/>
      <c r="BN391" s="784"/>
      <c r="BO391" s="784"/>
      <c r="BP391" s="784"/>
      <c r="BQ391" s="784"/>
      <c r="BR391" s="784"/>
      <c r="BS391" s="784"/>
      <c r="BT391" s="784"/>
      <c r="BU391" s="784"/>
      <c r="BV391" s="784"/>
      <c r="BW391" s="784"/>
      <c r="BX391" s="784"/>
      <c r="BY391" s="784"/>
      <c r="BZ391" s="784"/>
    </row>
    <row r="392" spans="1:78" ht="14.25">
      <c r="A392" s="784"/>
      <c r="B392" s="784"/>
      <c r="C392" s="784"/>
      <c r="D392" s="784"/>
      <c r="E392" s="784"/>
      <c r="F392" s="784"/>
      <c r="G392" s="784"/>
      <c r="H392" s="784"/>
      <c r="I392" s="784"/>
      <c r="J392" s="784"/>
      <c r="K392" s="784"/>
      <c r="L392" s="784"/>
      <c r="M392" s="784"/>
      <c r="N392" s="784"/>
      <c r="O392" s="784"/>
      <c r="P392" s="784"/>
      <c r="Q392" s="784"/>
      <c r="R392" s="784"/>
      <c r="S392" s="784"/>
      <c r="T392" s="785"/>
      <c r="U392" s="784"/>
      <c r="V392" s="784"/>
      <c r="W392" s="784"/>
      <c r="X392" s="784"/>
      <c r="Y392" s="784"/>
      <c r="Z392" s="784"/>
      <c r="AA392" s="784"/>
      <c r="AB392" s="784"/>
      <c r="AC392" s="784"/>
      <c r="AD392" s="784"/>
      <c r="AE392" s="784"/>
      <c r="AF392" s="784"/>
      <c r="AG392" s="784"/>
      <c r="AH392" s="784"/>
      <c r="AI392" s="784"/>
      <c r="AJ392" s="784"/>
      <c r="AK392" s="784"/>
      <c r="AL392" s="784"/>
      <c r="AM392" s="784"/>
      <c r="AN392" s="784"/>
      <c r="AO392" s="784"/>
      <c r="AP392" s="784"/>
      <c r="AQ392" s="784"/>
      <c r="AR392" s="784"/>
      <c r="AS392" s="784"/>
      <c r="AT392" s="784"/>
      <c r="AU392" s="784"/>
      <c r="AV392" s="784"/>
      <c r="AW392" s="784"/>
      <c r="AX392" s="784"/>
      <c r="AY392" s="784"/>
      <c r="AZ392" s="784"/>
      <c r="BA392" s="784"/>
      <c r="BB392" s="784"/>
      <c r="BC392" s="784"/>
      <c r="BD392" s="784"/>
      <c r="BE392" s="784"/>
      <c r="BF392" s="784"/>
      <c r="BG392" s="784"/>
      <c r="BH392" s="784"/>
      <c r="BI392" s="784"/>
      <c r="BJ392" s="784"/>
      <c r="BK392" s="784"/>
      <c r="BL392" s="784"/>
      <c r="BM392" s="784"/>
      <c r="BN392" s="784"/>
      <c r="BO392" s="784"/>
      <c r="BP392" s="784"/>
      <c r="BQ392" s="784"/>
      <c r="BR392" s="784"/>
      <c r="BS392" s="784"/>
      <c r="BT392" s="784"/>
      <c r="BU392" s="784"/>
      <c r="BV392" s="784"/>
      <c r="BW392" s="784"/>
      <c r="BX392" s="784"/>
      <c r="BY392" s="784"/>
      <c r="BZ392" s="784"/>
    </row>
    <row r="393" spans="1:78" ht="14.25">
      <c r="A393" s="784"/>
      <c r="B393" s="784"/>
      <c r="C393" s="784"/>
      <c r="D393" s="784"/>
      <c r="E393" s="784"/>
      <c r="F393" s="784"/>
      <c r="G393" s="784"/>
      <c r="H393" s="784"/>
      <c r="I393" s="784"/>
      <c r="J393" s="784"/>
      <c r="K393" s="784"/>
      <c r="L393" s="784"/>
      <c r="M393" s="784"/>
      <c r="N393" s="784"/>
      <c r="O393" s="784"/>
      <c r="P393" s="784"/>
      <c r="Q393" s="784"/>
      <c r="R393" s="784"/>
      <c r="S393" s="784"/>
      <c r="T393" s="785"/>
      <c r="U393" s="784"/>
      <c r="V393" s="784"/>
      <c r="W393" s="784"/>
      <c r="X393" s="784"/>
      <c r="Y393" s="784"/>
      <c r="Z393" s="784"/>
      <c r="AA393" s="784"/>
      <c r="AB393" s="784"/>
      <c r="AC393" s="784"/>
      <c r="AD393" s="784"/>
      <c r="AE393" s="784"/>
      <c r="AF393" s="784"/>
      <c r="AG393" s="784"/>
      <c r="AH393" s="784"/>
      <c r="AI393" s="784"/>
      <c r="AJ393" s="784"/>
      <c r="AK393" s="784"/>
      <c r="AL393" s="784"/>
      <c r="AM393" s="784"/>
      <c r="AN393" s="784"/>
      <c r="AO393" s="784"/>
      <c r="AP393" s="784"/>
      <c r="AQ393" s="784"/>
      <c r="AR393" s="784"/>
      <c r="AS393" s="784"/>
      <c r="AT393" s="784"/>
      <c r="AU393" s="784"/>
      <c r="AV393" s="784"/>
      <c r="AW393" s="784"/>
      <c r="AX393" s="784"/>
      <c r="AY393" s="784"/>
      <c r="AZ393" s="784"/>
      <c r="BA393" s="784"/>
      <c r="BB393" s="784"/>
      <c r="BC393" s="784"/>
      <c r="BD393" s="784"/>
      <c r="BE393" s="784"/>
      <c r="BF393" s="784"/>
      <c r="BG393" s="784"/>
      <c r="BH393" s="784"/>
      <c r="BI393" s="784"/>
      <c r="BJ393" s="784"/>
      <c r="BK393" s="784"/>
      <c r="BL393" s="784"/>
      <c r="BM393" s="784"/>
      <c r="BN393" s="784"/>
      <c r="BO393" s="784"/>
      <c r="BP393" s="784"/>
      <c r="BQ393" s="784"/>
      <c r="BR393" s="784"/>
      <c r="BS393" s="784"/>
      <c r="BT393" s="784"/>
      <c r="BU393" s="784"/>
      <c r="BV393" s="784"/>
      <c r="BW393" s="784"/>
      <c r="BX393" s="784"/>
      <c r="BY393" s="784"/>
      <c r="BZ393" s="784"/>
    </row>
    <row r="394" spans="1:78" ht="14.25">
      <c r="A394" s="784"/>
      <c r="B394" s="784"/>
      <c r="C394" s="784"/>
      <c r="D394" s="784"/>
      <c r="E394" s="784"/>
      <c r="F394" s="784"/>
      <c r="G394" s="784"/>
      <c r="H394" s="784"/>
      <c r="I394" s="784"/>
      <c r="J394" s="784"/>
      <c r="K394" s="784"/>
      <c r="L394" s="784"/>
      <c r="M394" s="784"/>
      <c r="N394" s="784"/>
      <c r="O394" s="784"/>
      <c r="P394" s="784"/>
      <c r="Q394" s="784"/>
      <c r="R394" s="784"/>
      <c r="S394" s="784"/>
      <c r="T394" s="785"/>
      <c r="U394" s="784"/>
      <c r="V394" s="784"/>
      <c r="W394" s="784"/>
      <c r="X394" s="784"/>
      <c r="Y394" s="784"/>
      <c r="Z394" s="784"/>
      <c r="AA394" s="784"/>
      <c r="AB394" s="784"/>
      <c r="AC394" s="784"/>
      <c r="AD394" s="784"/>
      <c r="AE394" s="784"/>
      <c r="AF394" s="784"/>
      <c r="AG394" s="784"/>
      <c r="AH394" s="784"/>
      <c r="AI394" s="784"/>
      <c r="AJ394" s="784"/>
      <c r="AK394" s="784"/>
      <c r="AL394" s="784"/>
      <c r="AM394" s="784"/>
      <c r="AN394" s="784"/>
      <c r="AO394" s="784"/>
      <c r="AP394" s="784"/>
      <c r="AQ394" s="784"/>
      <c r="AR394" s="784"/>
      <c r="AS394" s="784"/>
      <c r="AT394" s="784"/>
      <c r="AU394" s="784"/>
      <c r="AV394" s="784"/>
      <c r="AW394" s="784"/>
      <c r="AX394" s="784"/>
      <c r="AY394" s="784"/>
      <c r="AZ394" s="784"/>
      <c r="BA394" s="784"/>
      <c r="BB394" s="784"/>
      <c r="BC394" s="784"/>
      <c r="BD394" s="784"/>
      <c r="BE394" s="784"/>
      <c r="BF394" s="784"/>
      <c r="BG394" s="784"/>
      <c r="BH394" s="784"/>
      <c r="BI394" s="784"/>
      <c r="BJ394" s="784"/>
      <c r="BK394" s="784"/>
      <c r="BL394" s="784"/>
      <c r="BM394" s="784"/>
      <c r="BN394" s="784"/>
      <c r="BO394" s="784"/>
      <c r="BP394" s="784"/>
      <c r="BQ394" s="784"/>
      <c r="BR394" s="784"/>
      <c r="BS394" s="784"/>
      <c r="BT394" s="784"/>
      <c r="BU394" s="784"/>
      <c r="BV394" s="784"/>
      <c r="BW394" s="784"/>
      <c r="BX394" s="784"/>
      <c r="BY394" s="784"/>
      <c r="BZ394" s="784"/>
    </row>
    <row r="395" spans="1:78" ht="14.25">
      <c r="A395" s="784"/>
      <c r="B395" s="784"/>
      <c r="C395" s="784"/>
      <c r="D395" s="784"/>
      <c r="E395" s="784"/>
      <c r="F395" s="784"/>
      <c r="G395" s="784"/>
      <c r="H395" s="784"/>
      <c r="I395" s="784"/>
      <c r="J395" s="784"/>
      <c r="K395" s="784"/>
      <c r="L395" s="784"/>
      <c r="M395" s="784"/>
      <c r="N395" s="784"/>
      <c r="O395" s="784"/>
      <c r="P395" s="784"/>
      <c r="Q395" s="784"/>
      <c r="R395" s="784"/>
      <c r="S395" s="784"/>
      <c r="T395" s="785"/>
      <c r="U395" s="784"/>
      <c r="V395" s="784"/>
      <c r="W395" s="784"/>
      <c r="X395" s="784"/>
      <c r="Y395" s="784"/>
      <c r="Z395" s="784"/>
      <c r="AA395" s="784"/>
      <c r="AB395" s="784"/>
      <c r="AC395" s="784"/>
      <c r="AD395" s="784"/>
      <c r="AE395" s="784"/>
      <c r="AF395" s="784"/>
      <c r="AG395" s="784"/>
      <c r="AH395" s="784"/>
      <c r="AI395" s="784"/>
      <c r="AJ395" s="784"/>
      <c r="AK395" s="784"/>
      <c r="AL395" s="784"/>
      <c r="AM395" s="784"/>
      <c r="AN395" s="784"/>
      <c r="AO395" s="784"/>
      <c r="AP395" s="784"/>
      <c r="AQ395" s="784"/>
      <c r="AR395" s="784"/>
      <c r="AS395" s="784"/>
      <c r="AT395" s="784"/>
      <c r="AU395" s="784"/>
      <c r="AV395" s="784"/>
      <c r="AW395" s="784"/>
      <c r="AX395" s="784"/>
      <c r="AY395" s="784"/>
      <c r="AZ395" s="784"/>
      <c r="BA395" s="784"/>
      <c r="BB395" s="784"/>
      <c r="BC395" s="784"/>
      <c r="BD395" s="784"/>
      <c r="BE395" s="784"/>
      <c r="BF395" s="784"/>
      <c r="BG395" s="784"/>
      <c r="BH395" s="784"/>
      <c r="BI395" s="784"/>
      <c r="BJ395" s="784"/>
      <c r="BK395" s="784"/>
      <c r="BL395" s="784"/>
      <c r="BM395" s="784"/>
      <c r="BN395" s="784"/>
      <c r="BO395" s="784"/>
      <c r="BP395" s="784"/>
      <c r="BQ395" s="784"/>
      <c r="BR395" s="784"/>
      <c r="BS395" s="784"/>
      <c r="BT395" s="784"/>
      <c r="BU395" s="784"/>
      <c r="BV395" s="784"/>
      <c r="BW395" s="784"/>
      <c r="BX395" s="784"/>
      <c r="BY395" s="784"/>
      <c r="BZ395" s="784"/>
    </row>
    <row r="396" spans="1:78" ht="14.25">
      <c r="A396" s="784"/>
      <c r="B396" s="784"/>
      <c r="C396" s="784"/>
      <c r="D396" s="784"/>
      <c r="E396" s="784"/>
      <c r="F396" s="784"/>
      <c r="G396" s="784"/>
      <c r="H396" s="784"/>
      <c r="I396" s="784"/>
      <c r="J396" s="784"/>
      <c r="K396" s="784"/>
      <c r="L396" s="784"/>
      <c r="M396" s="784"/>
      <c r="N396" s="784"/>
      <c r="O396" s="784"/>
      <c r="P396" s="784"/>
      <c r="Q396" s="784"/>
      <c r="R396" s="784"/>
      <c r="S396" s="784"/>
      <c r="T396" s="785"/>
      <c r="U396" s="784"/>
      <c r="V396" s="784"/>
      <c r="W396" s="784"/>
      <c r="X396" s="784"/>
      <c r="Y396" s="784"/>
      <c r="Z396" s="784"/>
      <c r="AA396" s="784"/>
      <c r="AB396" s="784"/>
      <c r="AC396" s="784"/>
      <c r="AD396" s="784"/>
      <c r="AE396" s="784"/>
      <c r="AF396" s="784"/>
      <c r="AG396" s="784"/>
      <c r="AH396" s="784"/>
      <c r="AI396" s="784"/>
      <c r="AJ396" s="784"/>
      <c r="AK396" s="784"/>
      <c r="AL396" s="784"/>
      <c r="AM396" s="784"/>
      <c r="AN396" s="784"/>
      <c r="AO396" s="784"/>
      <c r="AP396" s="784"/>
      <c r="AQ396" s="784"/>
      <c r="AR396" s="784"/>
      <c r="AS396" s="784"/>
      <c r="AT396" s="784"/>
      <c r="AU396" s="784"/>
      <c r="AV396" s="784"/>
      <c r="AW396" s="784"/>
      <c r="AX396" s="784"/>
      <c r="AY396" s="784"/>
      <c r="AZ396" s="784"/>
      <c r="BA396" s="784"/>
      <c r="BB396" s="784"/>
      <c r="BC396" s="784"/>
      <c r="BD396" s="784"/>
      <c r="BE396" s="784"/>
      <c r="BF396" s="784"/>
      <c r="BG396" s="784"/>
      <c r="BH396" s="784"/>
      <c r="BI396" s="784"/>
      <c r="BJ396" s="784"/>
      <c r="BK396" s="784"/>
      <c r="BL396" s="784"/>
      <c r="BM396" s="784"/>
      <c r="BN396" s="784"/>
      <c r="BO396" s="784"/>
      <c r="BP396" s="784"/>
      <c r="BQ396" s="784"/>
      <c r="BR396" s="784"/>
      <c r="BS396" s="784"/>
      <c r="BT396" s="784"/>
      <c r="BU396" s="784"/>
      <c r="BV396" s="784"/>
      <c r="BW396" s="784"/>
      <c r="BX396" s="784"/>
      <c r="BY396" s="784"/>
      <c r="BZ396" s="784"/>
    </row>
    <row r="397" spans="1:78" ht="14.25">
      <c r="A397" s="784"/>
      <c r="B397" s="784"/>
      <c r="C397" s="784"/>
      <c r="D397" s="784"/>
      <c r="E397" s="784"/>
      <c r="F397" s="784"/>
      <c r="G397" s="784"/>
      <c r="H397" s="784"/>
      <c r="I397" s="784"/>
      <c r="J397" s="784"/>
      <c r="K397" s="784"/>
      <c r="L397" s="784"/>
      <c r="M397" s="784"/>
      <c r="N397" s="784"/>
      <c r="O397" s="784"/>
      <c r="P397" s="784"/>
      <c r="Q397" s="784"/>
      <c r="R397" s="784"/>
      <c r="S397" s="784"/>
      <c r="T397" s="785"/>
      <c r="U397" s="784"/>
      <c r="V397" s="784"/>
      <c r="W397" s="784"/>
      <c r="X397" s="784"/>
      <c r="Y397" s="784"/>
      <c r="Z397" s="784"/>
      <c r="AA397" s="784"/>
      <c r="AB397" s="784"/>
      <c r="AC397" s="784"/>
      <c r="AD397" s="784"/>
      <c r="AE397" s="784"/>
      <c r="AF397" s="784"/>
      <c r="AG397" s="784"/>
      <c r="AH397" s="784"/>
      <c r="AI397" s="784"/>
      <c r="AJ397" s="784"/>
      <c r="AK397" s="784"/>
      <c r="AL397" s="784"/>
      <c r="AM397" s="784"/>
      <c r="AN397" s="784"/>
      <c r="AO397" s="784"/>
      <c r="AP397" s="784"/>
      <c r="AQ397" s="784"/>
      <c r="AR397" s="784"/>
      <c r="AS397" s="784"/>
      <c r="AT397" s="784"/>
      <c r="AU397" s="784"/>
      <c r="AV397" s="784"/>
      <c r="AW397" s="784"/>
      <c r="AX397" s="784"/>
      <c r="AY397" s="784"/>
      <c r="AZ397" s="784"/>
      <c r="BA397" s="784"/>
      <c r="BB397" s="784"/>
      <c r="BC397" s="784"/>
      <c r="BD397" s="784"/>
      <c r="BE397" s="784"/>
      <c r="BF397" s="784"/>
      <c r="BG397" s="784"/>
      <c r="BH397" s="784"/>
      <c r="BI397" s="784"/>
      <c r="BJ397" s="784"/>
      <c r="BK397" s="784"/>
      <c r="BL397" s="784"/>
      <c r="BM397" s="784"/>
      <c r="BN397" s="784"/>
      <c r="BO397" s="784"/>
      <c r="BP397" s="784"/>
      <c r="BQ397" s="784"/>
      <c r="BR397" s="784"/>
      <c r="BS397" s="784"/>
      <c r="BT397" s="784"/>
      <c r="BU397" s="784"/>
      <c r="BV397" s="784"/>
      <c r="BW397" s="784"/>
      <c r="BX397" s="784"/>
      <c r="BY397" s="784"/>
      <c r="BZ397" s="784"/>
    </row>
    <row r="398" spans="1:78" ht="14.25">
      <c r="A398" s="784"/>
      <c r="B398" s="784"/>
      <c r="C398" s="784"/>
      <c r="D398" s="784"/>
      <c r="E398" s="784"/>
      <c r="F398" s="784"/>
      <c r="G398" s="784"/>
      <c r="H398" s="784"/>
      <c r="I398" s="784"/>
      <c r="J398" s="784"/>
      <c r="K398" s="784"/>
      <c r="L398" s="784"/>
      <c r="M398" s="784"/>
      <c r="N398" s="784"/>
      <c r="O398" s="784"/>
      <c r="P398" s="784"/>
      <c r="Q398" s="784"/>
      <c r="R398" s="784"/>
      <c r="S398" s="784"/>
      <c r="T398" s="785"/>
      <c r="U398" s="784"/>
      <c r="V398" s="784"/>
      <c r="W398" s="784"/>
      <c r="X398" s="784"/>
      <c r="Y398" s="784"/>
      <c r="Z398" s="784"/>
      <c r="AA398" s="784"/>
      <c r="AB398" s="784"/>
      <c r="AC398" s="784"/>
      <c r="AD398" s="784"/>
      <c r="AE398" s="784"/>
      <c r="AF398" s="784"/>
      <c r="AG398" s="784"/>
      <c r="AH398" s="784"/>
      <c r="AI398" s="784"/>
      <c r="AJ398" s="784"/>
      <c r="AK398" s="784"/>
      <c r="AL398" s="784"/>
      <c r="AM398" s="784"/>
      <c r="AN398" s="784"/>
      <c r="AO398" s="784"/>
      <c r="AP398" s="784"/>
      <c r="AQ398" s="784"/>
      <c r="AR398" s="784"/>
      <c r="AS398" s="784"/>
      <c r="AT398" s="784"/>
      <c r="AU398" s="784"/>
      <c r="AV398" s="784"/>
      <c r="AW398" s="784"/>
      <c r="AX398" s="784"/>
      <c r="AY398" s="784"/>
      <c r="AZ398" s="784"/>
      <c r="BA398" s="784"/>
      <c r="BB398" s="784"/>
      <c r="BC398" s="784"/>
      <c r="BD398" s="784"/>
      <c r="BE398" s="784"/>
      <c r="BF398" s="784"/>
      <c r="BG398" s="784"/>
      <c r="BH398" s="784"/>
      <c r="BI398" s="784"/>
      <c r="BJ398" s="784"/>
      <c r="BK398" s="784"/>
      <c r="BL398" s="784"/>
      <c r="BM398" s="784"/>
      <c r="BN398" s="784"/>
      <c r="BO398" s="784"/>
      <c r="BP398" s="784"/>
      <c r="BQ398" s="784"/>
      <c r="BR398" s="784"/>
      <c r="BS398" s="784"/>
      <c r="BT398" s="784"/>
      <c r="BU398" s="784"/>
      <c r="BV398" s="784"/>
      <c r="BW398" s="784"/>
      <c r="BX398" s="784"/>
      <c r="BY398" s="784"/>
      <c r="BZ398" s="784"/>
    </row>
    <row r="399" spans="1:78" ht="14.25">
      <c r="A399" s="784"/>
      <c r="B399" s="784"/>
      <c r="C399" s="784"/>
      <c r="D399" s="784"/>
      <c r="E399" s="784"/>
      <c r="F399" s="784"/>
      <c r="G399" s="784"/>
      <c r="H399" s="784"/>
      <c r="I399" s="784"/>
      <c r="J399" s="784"/>
      <c r="K399" s="784"/>
      <c r="L399" s="784"/>
      <c r="M399" s="784"/>
      <c r="N399" s="784"/>
      <c r="O399" s="784"/>
      <c r="P399" s="784"/>
      <c r="Q399" s="784"/>
      <c r="R399" s="784"/>
      <c r="S399" s="784"/>
      <c r="T399" s="785"/>
      <c r="U399" s="784"/>
      <c r="V399" s="784"/>
      <c r="W399" s="784"/>
      <c r="X399" s="784"/>
      <c r="Y399" s="784"/>
      <c r="Z399" s="784"/>
      <c r="AA399" s="784"/>
      <c r="AB399" s="784"/>
      <c r="AC399" s="784"/>
      <c r="AD399" s="784"/>
      <c r="AE399" s="784"/>
      <c r="AF399" s="784"/>
      <c r="AG399" s="784"/>
      <c r="AH399" s="784"/>
      <c r="AI399" s="784"/>
      <c r="AJ399" s="784"/>
      <c r="AK399" s="784"/>
      <c r="AL399" s="784"/>
      <c r="AM399" s="784"/>
      <c r="AN399" s="784"/>
      <c r="AO399" s="784"/>
      <c r="AP399" s="784"/>
      <c r="AQ399" s="784"/>
      <c r="AR399" s="784"/>
      <c r="AS399" s="784"/>
      <c r="AT399" s="784"/>
      <c r="AU399" s="784"/>
      <c r="AV399" s="784"/>
      <c r="AW399" s="784"/>
      <c r="AX399" s="784"/>
      <c r="AY399" s="784"/>
      <c r="AZ399" s="784"/>
      <c r="BA399" s="784"/>
      <c r="BB399" s="784"/>
      <c r="BC399" s="784"/>
      <c r="BD399" s="784"/>
      <c r="BE399" s="784"/>
      <c r="BF399" s="784"/>
      <c r="BG399" s="784"/>
      <c r="BH399" s="784"/>
      <c r="BI399" s="784"/>
      <c r="BJ399" s="784"/>
      <c r="BK399" s="784"/>
      <c r="BL399" s="784"/>
      <c r="BM399" s="784"/>
      <c r="BN399" s="784"/>
      <c r="BO399" s="784"/>
      <c r="BP399" s="784"/>
      <c r="BQ399" s="784"/>
      <c r="BR399" s="784"/>
      <c r="BS399" s="784"/>
      <c r="BT399" s="784"/>
      <c r="BU399" s="784"/>
      <c r="BV399" s="784"/>
      <c r="BW399" s="784"/>
      <c r="BX399" s="784"/>
      <c r="BY399" s="784"/>
      <c r="BZ399" s="784"/>
    </row>
    <row r="400" spans="1:78" ht="14.25">
      <c r="A400" s="784"/>
      <c r="B400" s="784"/>
      <c r="C400" s="784"/>
      <c r="D400" s="784"/>
      <c r="E400" s="784"/>
      <c r="F400" s="784"/>
      <c r="G400" s="784"/>
      <c r="H400" s="784"/>
      <c r="I400" s="784"/>
      <c r="J400" s="784"/>
      <c r="K400" s="784"/>
      <c r="L400" s="784"/>
      <c r="M400" s="784"/>
      <c r="N400" s="784"/>
      <c r="O400" s="784"/>
      <c r="P400" s="784"/>
      <c r="Q400" s="784"/>
      <c r="R400" s="784"/>
      <c r="S400" s="784"/>
      <c r="T400" s="785"/>
      <c r="U400" s="784"/>
      <c r="V400" s="784"/>
      <c r="W400" s="784"/>
      <c r="X400" s="784"/>
      <c r="Y400" s="784"/>
      <c r="Z400" s="784"/>
      <c r="AA400" s="784"/>
      <c r="AB400" s="784"/>
      <c r="AC400" s="784"/>
      <c r="AD400" s="784"/>
      <c r="AE400" s="784"/>
      <c r="AF400" s="784"/>
      <c r="AG400" s="784"/>
      <c r="AH400" s="784"/>
      <c r="AI400" s="784"/>
      <c r="AJ400" s="784"/>
      <c r="AK400" s="784"/>
      <c r="AL400" s="784"/>
      <c r="AM400" s="784"/>
      <c r="AN400" s="784"/>
      <c r="AO400" s="784"/>
      <c r="AP400" s="784"/>
      <c r="AQ400" s="784"/>
      <c r="AR400" s="784"/>
      <c r="AS400" s="784"/>
      <c r="AT400" s="784"/>
      <c r="AU400" s="784"/>
      <c r="AV400" s="784"/>
      <c r="AW400" s="784"/>
      <c r="AX400" s="784"/>
      <c r="AY400" s="784"/>
      <c r="AZ400" s="784"/>
      <c r="BA400" s="784"/>
      <c r="BB400" s="784"/>
      <c r="BC400" s="784"/>
      <c r="BD400" s="784"/>
      <c r="BE400" s="784"/>
      <c r="BF400" s="784"/>
      <c r="BG400" s="784"/>
      <c r="BH400" s="784"/>
      <c r="BI400" s="784"/>
      <c r="BJ400" s="784"/>
      <c r="BK400" s="784"/>
      <c r="BL400" s="784"/>
      <c r="BM400" s="784"/>
      <c r="BN400" s="784"/>
      <c r="BO400" s="784"/>
      <c r="BP400" s="784"/>
      <c r="BQ400" s="784"/>
      <c r="BR400" s="784"/>
      <c r="BS400" s="784"/>
      <c r="BT400" s="784"/>
      <c r="BU400" s="784"/>
      <c r="BV400" s="784"/>
      <c r="BW400" s="784"/>
      <c r="BX400" s="784"/>
      <c r="BY400" s="784"/>
      <c r="BZ400" s="784"/>
    </row>
    <row r="401" spans="1:78" ht="14.25">
      <c r="A401" s="784"/>
      <c r="B401" s="784"/>
      <c r="C401" s="784"/>
      <c r="D401" s="784"/>
      <c r="E401" s="784"/>
      <c r="F401" s="784"/>
      <c r="G401" s="784"/>
      <c r="H401" s="784"/>
      <c r="I401" s="784"/>
      <c r="J401" s="784"/>
      <c r="K401" s="784"/>
      <c r="L401" s="784"/>
      <c r="M401" s="784"/>
      <c r="N401" s="784"/>
      <c r="O401" s="784"/>
      <c r="P401" s="784"/>
      <c r="Q401" s="784"/>
      <c r="R401" s="784"/>
      <c r="S401" s="784"/>
      <c r="T401" s="785"/>
      <c r="U401" s="784"/>
      <c r="V401" s="784"/>
      <c r="W401" s="784"/>
      <c r="X401" s="784"/>
      <c r="Y401" s="784"/>
      <c r="Z401" s="784"/>
      <c r="AA401" s="784"/>
      <c r="AB401" s="784"/>
      <c r="AC401" s="784"/>
      <c r="AD401" s="784"/>
      <c r="AE401" s="784"/>
      <c r="AF401" s="784"/>
      <c r="AG401" s="784"/>
      <c r="AH401" s="784"/>
      <c r="AI401" s="784"/>
      <c r="AJ401" s="784"/>
      <c r="AK401" s="784"/>
      <c r="AL401" s="784"/>
      <c r="AM401" s="784"/>
      <c r="AN401" s="784"/>
      <c r="AO401" s="784"/>
      <c r="AP401" s="784"/>
      <c r="AQ401" s="784"/>
      <c r="AR401" s="784"/>
      <c r="AS401" s="784"/>
      <c r="AT401" s="784"/>
      <c r="AU401" s="784"/>
      <c r="AV401" s="784"/>
      <c r="AW401" s="784"/>
      <c r="AX401" s="784"/>
      <c r="AY401" s="784"/>
      <c r="AZ401" s="784"/>
      <c r="BA401" s="784"/>
      <c r="BB401" s="784"/>
      <c r="BC401" s="784"/>
      <c r="BD401" s="784"/>
      <c r="BE401" s="784"/>
      <c r="BF401" s="784"/>
      <c r="BG401" s="784"/>
      <c r="BH401" s="784"/>
      <c r="BI401" s="784"/>
      <c r="BJ401" s="784"/>
      <c r="BK401" s="784"/>
      <c r="BL401" s="784"/>
      <c r="BM401" s="784"/>
      <c r="BN401" s="784"/>
      <c r="BO401" s="784"/>
      <c r="BP401" s="784"/>
      <c r="BQ401" s="784"/>
      <c r="BR401" s="784"/>
      <c r="BS401" s="784"/>
      <c r="BT401" s="784"/>
      <c r="BU401" s="784"/>
      <c r="BV401" s="784"/>
      <c r="BW401" s="784"/>
      <c r="BX401" s="784"/>
      <c r="BY401" s="784"/>
      <c r="BZ401" s="784"/>
    </row>
    <row r="402" spans="1:78" ht="14.25">
      <c r="A402" s="784"/>
      <c r="B402" s="784"/>
      <c r="C402" s="784"/>
      <c r="D402" s="784"/>
      <c r="E402" s="784"/>
      <c r="F402" s="784"/>
      <c r="G402" s="784"/>
      <c r="H402" s="784"/>
      <c r="I402" s="784"/>
      <c r="J402" s="784"/>
      <c r="K402" s="784"/>
      <c r="L402" s="784"/>
      <c r="M402" s="784"/>
      <c r="N402" s="784"/>
      <c r="O402" s="784"/>
      <c r="P402" s="784"/>
      <c r="Q402" s="784"/>
      <c r="R402" s="784"/>
      <c r="S402" s="784"/>
      <c r="T402" s="785"/>
      <c r="U402" s="784"/>
      <c r="V402" s="784"/>
      <c r="W402" s="784"/>
      <c r="X402" s="784"/>
      <c r="Y402" s="784"/>
      <c r="Z402" s="784"/>
      <c r="AA402" s="784"/>
      <c r="AB402" s="784"/>
      <c r="AC402" s="784"/>
      <c r="AD402" s="784"/>
      <c r="AE402" s="784"/>
      <c r="AF402" s="784"/>
      <c r="AG402" s="784"/>
      <c r="AH402" s="784"/>
      <c r="AI402" s="784"/>
      <c r="AJ402" s="784"/>
      <c r="AK402" s="784"/>
      <c r="AL402" s="784"/>
      <c r="AM402" s="784"/>
      <c r="AN402" s="784"/>
      <c r="AO402" s="784"/>
      <c r="AP402" s="784"/>
      <c r="AQ402" s="784"/>
      <c r="AR402" s="784"/>
      <c r="AS402" s="784"/>
      <c r="AT402" s="784"/>
      <c r="AU402" s="784"/>
      <c r="AV402" s="784"/>
      <c r="AW402" s="784"/>
      <c r="AX402" s="784"/>
      <c r="AY402" s="784"/>
      <c r="AZ402" s="784"/>
      <c r="BA402" s="784"/>
      <c r="BB402" s="784"/>
      <c r="BC402" s="784"/>
      <c r="BD402" s="784"/>
      <c r="BE402" s="784"/>
      <c r="BF402" s="784"/>
      <c r="BG402" s="784"/>
      <c r="BH402" s="784"/>
      <c r="BI402" s="784"/>
      <c r="BJ402" s="784"/>
      <c r="BK402" s="784"/>
      <c r="BL402" s="784"/>
      <c r="BM402" s="784"/>
      <c r="BN402" s="784"/>
      <c r="BO402" s="784"/>
      <c r="BP402" s="784"/>
      <c r="BQ402" s="784"/>
      <c r="BR402" s="784"/>
      <c r="BS402" s="784"/>
      <c r="BT402" s="784"/>
      <c r="BU402" s="784"/>
      <c r="BV402" s="784"/>
      <c r="BW402" s="784"/>
      <c r="BX402" s="784"/>
      <c r="BY402" s="784"/>
      <c r="BZ402" s="784"/>
    </row>
    <row r="403" spans="1:78" ht="14.25">
      <c r="A403" s="784"/>
      <c r="B403" s="784"/>
      <c r="C403" s="784"/>
      <c r="D403" s="784"/>
      <c r="E403" s="784"/>
      <c r="F403" s="784"/>
      <c r="G403" s="784"/>
      <c r="H403" s="784"/>
      <c r="I403" s="784"/>
      <c r="J403" s="784"/>
      <c r="K403" s="784"/>
      <c r="L403" s="784"/>
      <c r="M403" s="784"/>
      <c r="N403" s="784"/>
      <c r="O403" s="784"/>
      <c r="P403" s="784"/>
      <c r="Q403" s="784"/>
      <c r="R403" s="784"/>
      <c r="S403" s="784"/>
      <c r="T403" s="785"/>
      <c r="U403" s="784"/>
      <c r="V403" s="784"/>
      <c r="W403" s="784"/>
      <c r="X403" s="784"/>
      <c r="Y403" s="784"/>
      <c r="Z403" s="784"/>
      <c r="AA403" s="784"/>
      <c r="AB403" s="784"/>
      <c r="AC403" s="784"/>
      <c r="AD403" s="784"/>
      <c r="AE403" s="784"/>
      <c r="AF403" s="784"/>
      <c r="AG403" s="784"/>
      <c r="AH403" s="784"/>
      <c r="AI403" s="784"/>
      <c r="AJ403" s="784"/>
      <c r="AK403" s="784"/>
      <c r="AL403" s="784"/>
      <c r="AM403" s="784"/>
      <c r="AN403" s="784"/>
      <c r="AO403" s="784"/>
      <c r="AP403" s="784"/>
      <c r="AQ403" s="784"/>
      <c r="AR403" s="784"/>
      <c r="AS403" s="784"/>
      <c r="AT403" s="784"/>
      <c r="AU403" s="784"/>
      <c r="AV403" s="784"/>
      <c r="AW403" s="784"/>
      <c r="AX403" s="784"/>
      <c r="AY403" s="784"/>
      <c r="AZ403" s="784"/>
      <c r="BA403" s="784"/>
      <c r="BB403" s="784"/>
      <c r="BC403" s="784"/>
      <c r="BD403" s="784"/>
      <c r="BE403" s="784"/>
      <c r="BF403" s="784"/>
      <c r="BG403" s="784"/>
      <c r="BH403" s="784"/>
      <c r="BI403" s="784"/>
      <c r="BJ403" s="784"/>
      <c r="BK403" s="784"/>
      <c r="BL403" s="784"/>
      <c r="BM403" s="784"/>
      <c r="BN403" s="784"/>
      <c r="BO403" s="784"/>
      <c r="BP403" s="784"/>
      <c r="BQ403" s="784"/>
      <c r="BR403" s="784"/>
      <c r="BS403" s="784"/>
      <c r="BT403" s="784"/>
      <c r="BU403" s="784"/>
      <c r="BV403" s="784"/>
      <c r="BW403" s="784"/>
      <c r="BX403" s="784"/>
      <c r="BY403" s="784"/>
      <c r="BZ403" s="784"/>
    </row>
    <row r="404" spans="1:78" ht="14.25">
      <c r="A404" s="784"/>
      <c r="B404" s="784"/>
      <c r="C404" s="784"/>
      <c r="D404" s="784"/>
      <c r="E404" s="784"/>
      <c r="F404" s="784"/>
      <c r="G404" s="784"/>
      <c r="H404" s="784"/>
      <c r="I404" s="784"/>
      <c r="J404" s="784"/>
      <c r="K404" s="784"/>
      <c r="L404" s="784"/>
      <c r="M404" s="784"/>
      <c r="N404" s="784"/>
      <c r="O404" s="784"/>
      <c r="P404" s="784"/>
      <c r="Q404" s="784"/>
      <c r="R404" s="784"/>
      <c r="S404" s="784"/>
      <c r="T404" s="785"/>
      <c r="U404" s="784"/>
      <c r="V404" s="784"/>
      <c r="W404" s="784"/>
      <c r="X404" s="784"/>
      <c r="Y404" s="784"/>
      <c r="Z404" s="784"/>
      <c r="AA404" s="784"/>
      <c r="AB404" s="784"/>
      <c r="AC404" s="784"/>
      <c r="AD404" s="784"/>
      <c r="AE404" s="784"/>
      <c r="AF404" s="784"/>
      <c r="AG404" s="784"/>
      <c r="AH404" s="784"/>
      <c r="AI404" s="784"/>
      <c r="AJ404" s="784"/>
      <c r="AK404" s="784"/>
      <c r="AL404" s="784"/>
      <c r="AM404" s="784"/>
      <c r="AN404" s="784"/>
      <c r="AO404" s="784"/>
      <c r="AP404" s="784"/>
      <c r="AQ404" s="784"/>
      <c r="AR404" s="784"/>
      <c r="AS404" s="784"/>
      <c r="AT404" s="784"/>
      <c r="AU404" s="784"/>
      <c r="AV404" s="784"/>
      <c r="AW404" s="784"/>
      <c r="AX404" s="784"/>
      <c r="AY404" s="784"/>
      <c r="AZ404" s="784"/>
      <c r="BA404" s="784"/>
      <c r="BB404" s="784"/>
      <c r="BC404" s="784"/>
      <c r="BD404" s="784"/>
      <c r="BE404" s="784"/>
      <c r="BF404" s="784"/>
      <c r="BG404" s="784"/>
      <c r="BH404" s="784"/>
      <c r="BI404" s="784"/>
      <c r="BJ404" s="784"/>
      <c r="BK404" s="784"/>
      <c r="BL404" s="784"/>
      <c r="BM404" s="784"/>
      <c r="BN404" s="784"/>
      <c r="BO404" s="784"/>
      <c r="BP404" s="784"/>
      <c r="BQ404" s="784"/>
      <c r="BR404" s="784"/>
      <c r="BS404" s="784"/>
      <c r="BT404" s="784"/>
      <c r="BU404" s="784"/>
      <c r="BV404" s="784"/>
      <c r="BW404" s="784"/>
      <c r="BX404" s="784"/>
      <c r="BY404" s="784"/>
      <c r="BZ404" s="784"/>
    </row>
    <row r="405" spans="1:78" ht="14.25">
      <c r="A405" s="784"/>
      <c r="B405" s="784"/>
      <c r="C405" s="784"/>
      <c r="D405" s="784"/>
      <c r="E405" s="784"/>
      <c r="F405" s="784"/>
      <c r="G405" s="784"/>
      <c r="H405" s="784"/>
      <c r="I405" s="784"/>
      <c r="J405" s="784"/>
      <c r="K405" s="784"/>
      <c r="L405" s="784"/>
      <c r="M405" s="784"/>
      <c r="N405" s="784"/>
      <c r="O405" s="784"/>
      <c r="P405" s="784"/>
      <c r="Q405" s="784"/>
      <c r="R405" s="784"/>
      <c r="S405" s="784"/>
      <c r="T405" s="785"/>
      <c r="U405" s="784"/>
      <c r="V405" s="784"/>
      <c r="W405" s="784"/>
      <c r="X405" s="784"/>
      <c r="Y405" s="784"/>
      <c r="Z405" s="784"/>
      <c r="AA405" s="784"/>
      <c r="AB405" s="784"/>
      <c r="AC405" s="784"/>
      <c r="AD405" s="784"/>
      <c r="AE405" s="784"/>
      <c r="AF405" s="784"/>
      <c r="AG405" s="784"/>
      <c r="AH405" s="784"/>
      <c r="AI405" s="784"/>
      <c r="AJ405" s="784"/>
      <c r="AK405" s="784"/>
      <c r="AL405" s="784"/>
      <c r="AM405" s="784"/>
      <c r="AN405" s="784"/>
      <c r="AO405" s="784"/>
      <c r="AP405" s="784"/>
      <c r="AQ405" s="784"/>
      <c r="AR405" s="784"/>
      <c r="AS405" s="784"/>
      <c r="AT405" s="784"/>
      <c r="AU405" s="784"/>
      <c r="AV405" s="784"/>
      <c r="AW405" s="784"/>
      <c r="AX405" s="784"/>
      <c r="AY405" s="784"/>
      <c r="AZ405" s="784"/>
      <c r="BA405" s="784"/>
      <c r="BB405" s="784"/>
      <c r="BC405" s="784"/>
      <c r="BD405" s="784"/>
      <c r="BE405" s="784"/>
      <c r="BF405" s="784"/>
      <c r="BG405" s="784"/>
      <c r="BH405" s="784"/>
      <c r="BI405" s="784"/>
      <c r="BJ405" s="784"/>
      <c r="BK405" s="784"/>
      <c r="BL405" s="784"/>
      <c r="BM405" s="784"/>
      <c r="BN405" s="784"/>
      <c r="BO405" s="784"/>
      <c r="BP405" s="784"/>
      <c r="BQ405" s="784"/>
      <c r="BR405" s="784"/>
      <c r="BS405" s="784"/>
      <c r="BT405" s="784"/>
      <c r="BU405" s="784"/>
      <c r="BV405" s="784"/>
      <c r="BW405" s="784"/>
      <c r="BX405" s="784"/>
      <c r="BY405" s="784"/>
      <c r="BZ405" s="784"/>
    </row>
    <row r="406" spans="1:78" ht="14.25">
      <c r="A406" s="784"/>
      <c r="B406" s="784"/>
      <c r="C406" s="784"/>
      <c r="D406" s="784"/>
      <c r="E406" s="784"/>
      <c r="F406" s="784"/>
      <c r="G406" s="784"/>
      <c r="H406" s="784"/>
      <c r="I406" s="784"/>
      <c r="J406" s="784"/>
      <c r="K406" s="784"/>
      <c r="L406" s="784"/>
      <c r="M406" s="784"/>
      <c r="N406" s="784"/>
      <c r="O406" s="784"/>
      <c r="P406" s="784"/>
      <c r="Q406" s="784"/>
      <c r="R406" s="784"/>
      <c r="S406" s="784"/>
      <c r="T406" s="785"/>
      <c r="U406" s="784"/>
      <c r="V406" s="784"/>
      <c r="W406" s="784"/>
      <c r="X406" s="784"/>
      <c r="Y406" s="784"/>
      <c r="Z406" s="784"/>
      <c r="AA406" s="784"/>
      <c r="AB406" s="784"/>
      <c r="AC406" s="784"/>
      <c r="AD406" s="784"/>
      <c r="AE406" s="784"/>
      <c r="AF406" s="784"/>
      <c r="AG406" s="784"/>
      <c r="AH406" s="784"/>
      <c r="AI406" s="784"/>
      <c r="AJ406" s="784"/>
      <c r="AK406" s="784"/>
      <c r="AL406" s="784"/>
      <c r="AM406" s="784"/>
      <c r="AN406" s="784"/>
      <c r="AO406" s="784"/>
      <c r="AP406" s="784"/>
      <c r="AQ406" s="784"/>
      <c r="AR406" s="784"/>
      <c r="AS406" s="784"/>
      <c r="AT406" s="784"/>
      <c r="AU406" s="784"/>
      <c r="AV406" s="784"/>
      <c r="AW406" s="784"/>
      <c r="AX406" s="784"/>
      <c r="AY406" s="784"/>
      <c r="AZ406" s="784"/>
      <c r="BA406" s="784"/>
      <c r="BB406" s="784"/>
      <c r="BC406" s="784"/>
      <c r="BD406" s="784"/>
      <c r="BE406" s="784"/>
      <c r="BF406" s="784"/>
      <c r="BG406" s="784"/>
      <c r="BH406" s="784"/>
      <c r="BI406" s="784"/>
      <c r="BJ406" s="784"/>
      <c r="BK406" s="784"/>
      <c r="BL406" s="784"/>
      <c r="BM406" s="784"/>
      <c r="BN406" s="784"/>
      <c r="BO406" s="784"/>
      <c r="BP406" s="784"/>
      <c r="BQ406" s="784"/>
      <c r="BR406" s="784"/>
      <c r="BS406" s="784"/>
      <c r="BT406" s="784"/>
      <c r="BU406" s="784"/>
      <c r="BV406" s="784"/>
      <c r="BW406" s="784"/>
      <c r="BX406" s="784"/>
      <c r="BY406" s="784"/>
      <c r="BZ406" s="784"/>
    </row>
    <row r="407" spans="1:78" ht="14.25">
      <c r="A407" s="784"/>
      <c r="B407" s="784"/>
      <c r="C407" s="784"/>
      <c r="D407" s="784"/>
      <c r="E407" s="784"/>
      <c r="F407" s="784"/>
      <c r="G407" s="784"/>
      <c r="H407" s="784"/>
      <c r="I407" s="784"/>
      <c r="J407" s="784"/>
      <c r="K407" s="784"/>
      <c r="L407" s="784"/>
      <c r="M407" s="784"/>
      <c r="N407" s="784"/>
      <c r="O407" s="784"/>
      <c r="P407" s="784"/>
      <c r="Q407" s="784"/>
      <c r="R407" s="784"/>
      <c r="S407" s="784"/>
      <c r="T407" s="785"/>
      <c r="U407" s="784"/>
      <c r="V407" s="784"/>
      <c r="W407" s="784"/>
      <c r="X407" s="784"/>
      <c r="Y407" s="784"/>
      <c r="Z407" s="784"/>
      <c r="AA407" s="784"/>
      <c r="AB407" s="784"/>
      <c r="AC407" s="784"/>
      <c r="AD407" s="784"/>
      <c r="AE407" s="784"/>
      <c r="AF407" s="784"/>
      <c r="AG407" s="784"/>
      <c r="AH407" s="784"/>
      <c r="AI407" s="784"/>
      <c r="AJ407" s="784"/>
      <c r="AK407" s="784"/>
      <c r="AL407" s="784"/>
      <c r="AM407" s="784"/>
      <c r="AN407" s="784"/>
      <c r="AO407" s="784"/>
      <c r="AP407" s="784"/>
      <c r="AQ407" s="784"/>
      <c r="AR407" s="784"/>
      <c r="AS407" s="784"/>
      <c r="AT407" s="784"/>
      <c r="AU407" s="784"/>
      <c r="AV407" s="784"/>
      <c r="AW407" s="784"/>
      <c r="AX407" s="784"/>
      <c r="AY407" s="784"/>
      <c r="AZ407" s="784"/>
      <c r="BA407" s="784"/>
      <c r="BB407" s="784"/>
      <c r="BC407" s="784"/>
      <c r="BD407" s="784"/>
      <c r="BE407" s="784"/>
      <c r="BF407" s="784"/>
      <c r="BG407" s="784"/>
      <c r="BH407" s="784"/>
      <c r="BI407" s="784"/>
      <c r="BJ407" s="784"/>
      <c r="BK407" s="784"/>
      <c r="BL407" s="784"/>
      <c r="BM407" s="784"/>
      <c r="BN407" s="784"/>
      <c r="BO407" s="784"/>
      <c r="BP407" s="784"/>
      <c r="BQ407" s="784"/>
      <c r="BR407" s="784"/>
      <c r="BS407" s="784"/>
      <c r="BT407" s="784"/>
      <c r="BU407" s="784"/>
      <c r="BV407" s="784"/>
      <c r="BW407" s="784"/>
      <c r="BX407" s="784"/>
      <c r="BY407" s="784"/>
      <c r="BZ407" s="784"/>
    </row>
    <row r="408" spans="1:78" ht="14.25">
      <c r="A408" s="784"/>
      <c r="B408" s="784"/>
      <c r="C408" s="784"/>
      <c r="D408" s="784"/>
      <c r="E408" s="784"/>
      <c r="F408" s="784"/>
      <c r="G408" s="784"/>
      <c r="H408" s="784"/>
      <c r="I408" s="784"/>
      <c r="J408" s="784"/>
      <c r="K408" s="784"/>
      <c r="L408" s="784"/>
      <c r="M408" s="784"/>
      <c r="N408" s="784"/>
      <c r="O408" s="784"/>
      <c r="P408" s="784"/>
      <c r="Q408" s="784"/>
      <c r="R408" s="784"/>
      <c r="S408" s="784"/>
      <c r="T408" s="785"/>
      <c r="U408" s="784"/>
      <c r="V408" s="784"/>
      <c r="W408" s="784"/>
      <c r="X408" s="784"/>
      <c r="Y408" s="784"/>
      <c r="Z408" s="784"/>
      <c r="AA408" s="784"/>
      <c r="AB408" s="784"/>
      <c r="AC408" s="784"/>
      <c r="AD408" s="784"/>
      <c r="AE408" s="784"/>
      <c r="AF408" s="784"/>
      <c r="AG408" s="784"/>
      <c r="AH408" s="784"/>
      <c r="AI408" s="784"/>
      <c r="AJ408" s="784"/>
      <c r="AK408" s="784"/>
      <c r="AL408" s="784"/>
      <c r="AM408" s="784"/>
      <c r="AN408" s="784"/>
      <c r="AO408" s="784"/>
      <c r="AP408" s="784"/>
      <c r="AQ408" s="784"/>
      <c r="AR408" s="784"/>
      <c r="AS408" s="784"/>
      <c r="AT408" s="784"/>
      <c r="AU408" s="784"/>
      <c r="AV408" s="784"/>
      <c r="AW408" s="784"/>
      <c r="AX408" s="784"/>
      <c r="AY408" s="784"/>
      <c r="AZ408" s="784"/>
      <c r="BA408" s="784"/>
      <c r="BB408" s="784"/>
      <c r="BC408" s="784"/>
      <c r="BD408" s="784"/>
      <c r="BE408" s="784"/>
      <c r="BF408" s="784"/>
      <c r="BG408" s="784"/>
      <c r="BH408" s="784"/>
      <c r="BI408" s="784"/>
      <c r="BJ408" s="784"/>
      <c r="BK408" s="784"/>
      <c r="BL408" s="784"/>
      <c r="BM408" s="784"/>
      <c r="BN408" s="784"/>
      <c r="BO408" s="784"/>
      <c r="BP408" s="784"/>
      <c r="BQ408" s="784"/>
      <c r="BR408" s="784"/>
      <c r="BS408" s="784"/>
      <c r="BT408" s="784"/>
      <c r="BU408" s="784"/>
      <c r="BV408" s="784"/>
      <c r="BW408" s="784"/>
      <c r="BX408" s="784"/>
      <c r="BY408" s="784"/>
      <c r="BZ408" s="784"/>
    </row>
    <row r="409" spans="1:78" ht="14.25">
      <c r="A409" s="784"/>
      <c r="B409" s="784"/>
      <c r="C409" s="784"/>
      <c r="D409" s="784"/>
      <c r="E409" s="784"/>
      <c r="F409" s="784"/>
      <c r="G409" s="784"/>
      <c r="H409" s="784"/>
      <c r="I409" s="784"/>
      <c r="J409" s="784"/>
      <c r="K409" s="784"/>
      <c r="L409" s="784"/>
      <c r="M409" s="784"/>
      <c r="N409" s="784"/>
      <c r="O409" s="784"/>
      <c r="P409" s="784"/>
      <c r="Q409" s="784"/>
      <c r="R409" s="784"/>
      <c r="S409" s="784"/>
      <c r="T409" s="785"/>
      <c r="U409" s="784"/>
      <c r="V409" s="784"/>
      <c r="W409" s="784"/>
      <c r="X409" s="784"/>
      <c r="Y409" s="784"/>
      <c r="Z409" s="784"/>
      <c r="AA409" s="784"/>
      <c r="AB409" s="784"/>
      <c r="AC409" s="784"/>
      <c r="AD409" s="784"/>
      <c r="AE409" s="784"/>
      <c r="AF409" s="784"/>
      <c r="AG409" s="784"/>
      <c r="AH409" s="784"/>
      <c r="AI409" s="784"/>
      <c r="AJ409" s="784"/>
      <c r="AK409" s="784"/>
      <c r="AL409" s="784"/>
      <c r="AM409" s="784"/>
      <c r="AN409" s="784"/>
      <c r="AO409" s="784"/>
      <c r="AP409" s="784"/>
      <c r="AQ409" s="784"/>
      <c r="AR409" s="784"/>
      <c r="AS409" s="784"/>
      <c r="AT409" s="784"/>
      <c r="AU409" s="784"/>
      <c r="AV409" s="784"/>
      <c r="AW409" s="784"/>
      <c r="AX409" s="784"/>
      <c r="AY409" s="784"/>
      <c r="AZ409" s="784"/>
      <c r="BA409" s="784"/>
      <c r="BB409" s="784"/>
      <c r="BC409" s="784"/>
      <c r="BD409" s="784"/>
      <c r="BE409" s="784"/>
      <c r="BF409" s="784"/>
      <c r="BG409" s="784"/>
      <c r="BH409" s="784"/>
      <c r="BI409" s="784"/>
      <c r="BJ409" s="784"/>
      <c r="BK409" s="784"/>
      <c r="BL409" s="784"/>
      <c r="BM409" s="784"/>
      <c r="BN409" s="784"/>
      <c r="BO409" s="784"/>
      <c r="BP409" s="784"/>
      <c r="BQ409" s="784"/>
      <c r="BR409" s="784"/>
      <c r="BS409" s="784"/>
      <c r="BT409" s="784"/>
      <c r="BU409" s="784"/>
      <c r="BV409" s="784"/>
      <c r="BW409" s="784"/>
      <c r="BX409" s="784"/>
      <c r="BY409" s="784"/>
      <c r="BZ409" s="784"/>
    </row>
    <row r="410" spans="1:78" ht="14.25">
      <c r="A410" s="784"/>
      <c r="B410" s="784"/>
      <c r="C410" s="784"/>
      <c r="D410" s="784"/>
      <c r="E410" s="784"/>
      <c r="F410" s="784"/>
      <c r="G410" s="784"/>
      <c r="H410" s="784"/>
      <c r="I410" s="784"/>
      <c r="J410" s="784"/>
      <c r="K410" s="784"/>
      <c r="L410" s="784"/>
      <c r="M410" s="784"/>
      <c r="N410" s="784"/>
      <c r="O410" s="784"/>
      <c r="P410" s="784"/>
      <c r="Q410" s="784"/>
      <c r="R410" s="784"/>
      <c r="S410" s="784"/>
      <c r="T410" s="785"/>
      <c r="U410" s="784"/>
      <c r="V410" s="784"/>
      <c r="W410" s="784"/>
      <c r="X410" s="784"/>
      <c r="Y410" s="784"/>
      <c r="Z410" s="784"/>
      <c r="AA410" s="784"/>
      <c r="AB410" s="784"/>
      <c r="AC410" s="784"/>
      <c r="AD410" s="784"/>
      <c r="AE410" s="784"/>
      <c r="AF410" s="784"/>
      <c r="AG410" s="784"/>
      <c r="AH410" s="784"/>
      <c r="AI410" s="784"/>
      <c r="AJ410" s="784"/>
      <c r="AK410" s="784"/>
      <c r="AL410" s="784"/>
      <c r="AM410" s="784"/>
      <c r="AN410" s="784"/>
      <c r="AO410" s="784"/>
      <c r="AP410" s="784"/>
      <c r="AQ410" s="784"/>
      <c r="AR410" s="784"/>
      <c r="AS410" s="784"/>
      <c r="AT410" s="784"/>
      <c r="AU410" s="784"/>
      <c r="AV410" s="784"/>
      <c r="AW410" s="784"/>
      <c r="AX410" s="784"/>
      <c r="AY410" s="784"/>
      <c r="AZ410" s="784"/>
      <c r="BA410" s="784"/>
      <c r="BB410" s="784"/>
      <c r="BC410" s="784"/>
      <c r="BD410" s="784"/>
      <c r="BE410" s="784"/>
      <c r="BF410" s="784"/>
      <c r="BG410" s="784"/>
      <c r="BH410" s="784"/>
      <c r="BI410" s="784"/>
      <c r="BJ410" s="784"/>
      <c r="BK410" s="784"/>
      <c r="BL410" s="784"/>
      <c r="BM410" s="784"/>
      <c r="BN410" s="784"/>
      <c r="BO410" s="784"/>
      <c r="BP410" s="784"/>
      <c r="BQ410" s="784"/>
      <c r="BR410" s="784"/>
      <c r="BS410" s="784"/>
      <c r="BT410" s="784"/>
      <c r="BU410" s="784"/>
      <c r="BV410" s="784"/>
      <c r="BW410" s="784"/>
      <c r="BX410" s="784"/>
      <c r="BY410" s="784"/>
      <c r="BZ410" s="784"/>
    </row>
    <row r="411" spans="1:78" ht="14.25">
      <c r="A411" s="784"/>
      <c r="B411" s="784"/>
      <c r="C411" s="784"/>
      <c r="D411" s="784"/>
      <c r="E411" s="784"/>
      <c r="F411" s="784"/>
      <c r="G411" s="784"/>
      <c r="H411" s="784"/>
      <c r="I411" s="784"/>
      <c r="J411" s="784"/>
      <c r="K411" s="784"/>
      <c r="L411" s="784"/>
      <c r="M411" s="784"/>
      <c r="N411" s="784"/>
      <c r="O411" s="784"/>
      <c r="P411" s="784"/>
      <c r="Q411" s="784"/>
      <c r="R411" s="784"/>
      <c r="S411" s="784"/>
      <c r="T411" s="785"/>
      <c r="U411" s="784"/>
      <c r="V411" s="784"/>
      <c r="W411" s="784"/>
      <c r="X411" s="784"/>
      <c r="Y411" s="784"/>
      <c r="Z411" s="784"/>
      <c r="AA411" s="784"/>
      <c r="AB411" s="784"/>
      <c r="AC411" s="784"/>
      <c r="AD411" s="784"/>
      <c r="AE411" s="784"/>
      <c r="AF411" s="784"/>
      <c r="AG411" s="784"/>
      <c r="AH411" s="784"/>
      <c r="AI411" s="784"/>
      <c r="AJ411" s="784"/>
      <c r="AK411" s="784"/>
      <c r="AL411" s="784"/>
      <c r="AM411" s="784"/>
      <c r="AN411" s="784"/>
      <c r="AO411" s="784"/>
      <c r="AP411" s="784"/>
      <c r="AQ411" s="784"/>
      <c r="AR411" s="784"/>
      <c r="AS411" s="784"/>
      <c r="AT411" s="784"/>
      <c r="AU411" s="784"/>
      <c r="AV411" s="784"/>
      <c r="AW411" s="784"/>
      <c r="AX411" s="784"/>
      <c r="AY411" s="784"/>
      <c r="AZ411" s="784"/>
      <c r="BA411" s="784"/>
      <c r="BB411" s="784"/>
      <c r="BC411" s="784"/>
      <c r="BD411" s="784"/>
      <c r="BE411" s="784"/>
      <c r="BF411" s="784"/>
      <c r="BG411" s="784"/>
      <c r="BH411" s="784"/>
      <c r="BI411" s="784"/>
      <c r="BJ411" s="784"/>
      <c r="BK411" s="784"/>
      <c r="BL411" s="784"/>
      <c r="BM411" s="784"/>
      <c r="BN411" s="784"/>
      <c r="BO411" s="784"/>
      <c r="BP411" s="784"/>
      <c r="BQ411" s="784"/>
      <c r="BR411" s="784"/>
      <c r="BS411" s="784"/>
      <c r="BT411" s="784"/>
      <c r="BU411" s="784"/>
      <c r="BV411" s="784"/>
      <c r="BW411" s="784"/>
      <c r="BX411" s="784"/>
      <c r="BY411" s="784"/>
      <c r="BZ411" s="784"/>
    </row>
    <row r="412" spans="1:78" ht="14.25">
      <c r="A412" s="784"/>
      <c r="B412" s="784"/>
      <c r="C412" s="784"/>
      <c r="D412" s="784"/>
      <c r="E412" s="784"/>
      <c r="F412" s="784"/>
      <c r="G412" s="784"/>
      <c r="H412" s="784"/>
      <c r="I412" s="784"/>
      <c r="J412" s="784"/>
      <c r="K412" s="784"/>
      <c r="L412" s="784"/>
      <c r="M412" s="784"/>
      <c r="N412" s="784"/>
      <c r="O412" s="784"/>
      <c r="P412" s="784"/>
      <c r="Q412" s="784"/>
      <c r="R412" s="784"/>
      <c r="S412" s="784"/>
      <c r="T412" s="785"/>
      <c r="U412" s="784"/>
      <c r="V412" s="784"/>
      <c r="W412" s="784"/>
      <c r="X412" s="784"/>
      <c r="Y412" s="784"/>
      <c r="Z412" s="784"/>
      <c r="AA412" s="784"/>
      <c r="AB412" s="784"/>
      <c r="AC412" s="784"/>
      <c r="AD412" s="784"/>
      <c r="AE412" s="784"/>
      <c r="AF412" s="784"/>
      <c r="AG412" s="784"/>
      <c r="AH412" s="784"/>
      <c r="AI412" s="784"/>
      <c r="AJ412" s="784"/>
      <c r="AK412" s="784"/>
      <c r="AL412" s="784"/>
      <c r="AM412" s="784"/>
      <c r="AN412" s="784"/>
      <c r="AO412" s="784"/>
      <c r="AP412" s="784"/>
      <c r="AQ412" s="784"/>
      <c r="AR412" s="784"/>
      <c r="AS412" s="784"/>
      <c r="AT412" s="784"/>
      <c r="AU412" s="784"/>
      <c r="AV412" s="784"/>
      <c r="AW412" s="784"/>
      <c r="AX412" s="784"/>
      <c r="AY412" s="784"/>
      <c r="AZ412" s="784"/>
      <c r="BA412" s="784"/>
      <c r="BB412" s="784"/>
      <c r="BC412" s="784"/>
      <c r="BD412" s="784"/>
      <c r="BE412" s="784"/>
      <c r="BF412" s="784"/>
      <c r="BG412" s="784"/>
      <c r="BH412" s="784"/>
      <c r="BI412" s="784"/>
      <c r="BJ412" s="784"/>
      <c r="BK412" s="784"/>
      <c r="BL412" s="784"/>
      <c r="BM412" s="784"/>
      <c r="BN412" s="784"/>
      <c r="BO412" s="784"/>
      <c r="BP412" s="784"/>
      <c r="BQ412" s="784"/>
      <c r="BR412" s="784"/>
      <c r="BS412" s="784"/>
      <c r="BT412" s="784"/>
      <c r="BU412" s="784"/>
      <c r="BV412" s="784"/>
      <c r="BW412" s="784"/>
      <c r="BX412" s="784"/>
      <c r="BY412" s="784"/>
      <c r="BZ412" s="784"/>
    </row>
    <row r="413" spans="1:78" ht="14.25">
      <c r="A413" s="784"/>
      <c r="B413" s="784"/>
      <c r="C413" s="784"/>
      <c r="D413" s="784"/>
      <c r="E413" s="784"/>
      <c r="F413" s="784"/>
      <c r="G413" s="784"/>
      <c r="H413" s="784"/>
      <c r="I413" s="784"/>
      <c r="J413" s="784"/>
      <c r="K413" s="784"/>
      <c r="L413" s="784"/>
      <c r="M413" s="784"/>
      <c r="N413" s="784"/>
      <c r="O413" s="784"/>
      <c r="P413" s="784"/>
      <c r="Q413" s="784"/>
      <c r="R413" s="784"/>
      <c r="S413" s="784"/>
      <c r="T413" s="785"/>
      <c r="U413" s="784"/>
      <c r="V413" s="784"/>
      <c r="W413" s="784"/>
      <c r="X413" s="784"/>
      <c r="Y413" s="784"/>
      <c r="Z413" s="784"/>
      <c r="AA413" s="784"/>
      <c r="AB413" s="784"/>
      <c r="AC413" s="784"/>
      <c r="AD413" s="784"/>
      <c r="AE413" s="784"/>
      <c r="AF413" s="784"/>
      <c r="AG413" s="784"/>
      <c r="AH413" s="784"/>
      <c r="AI413" s="784"/>
      <c r="AJ413" s="784"/>
      <c r="AK413" s="784"/>
      <c r="AL413" s="784"/>
      <c r="AM413" s="784"/>
      <c r="AN413" s="784"/>
      <c r="AO413" s="784"/>
      <c r="AP413" s="784"/>
      <c r="AQ413" s="784"/>
      <c r="AR413" s="784"/>
      <c r="AS413" s="784"/>
      <c r="AT413" s="784"/>
      <c r="AU413" s="784"/>
      <c r="AV413" s="784"/>
      <c r="AW413" s="784"/>
      <c r="AX413" s="784"/>
      <c r="AY413" s="784"/>
      <c r="AZ413" s="784"/>
      <c r="BA413" s="784"/>
      <c r="BB413" s="784"/>
      <c r="BC413" s="784"/>
      <c r="BD413" s="784"/>
      <c r="BE413" s="784"/>
      <c r="BF413" s="784"/>
      <c r="BG413" s="784"/>
      <c r="BH413" s="784"/>
      <c r="BI413" s="784"/>
      <c r="BJ413" s="784"/>
      <c r="BK413" s="784"/>
      <c r="BL413" s="784"/>
      <c r="BM413" s="784"/>
      <c r="BN413" s="784"/>
      <c r="BO413" s="784"/>
      <c r="BP413" s="784"/>
      <c r="BQ413" s="784"/>
      <c r="BR413" s="784"/>
      <c r="BS413" s="784"/>
      <c r="BT413" s="784"/>
      <c r="BU413" s="784"/>
      <c r="BV413" s="784"/>
      <c r="BW413" s="784"/>
      <c r="BX413" s="784"/>
      <c r="BY413" s="784"/>
      <c r="BZ413" s="784"/>
    </row>
    <row r="414" spans="1:78" ht="14.25">
      <c r="A414" s="784"/>
      <c r="B414" s="784"/>
      <c r="C414" s="784"/>
      <c r="D414" s="784"/>
      <c r="E414" s="784"/>
      <c r="F414" s="784"/>
      <c r="G414" s="784"/>
      <c r="H414" s="784"/>
      <c r="I414" s="784"/>
      <c r="J414" s="784"/>
      <c r="K414" s="784"/>
      <c r="L414" s="784"/>
      <c r="M414" s="784"/>
      <c r="N414" s="784"/>
      <c r="O414" s="784"/>
      <c r="P414" s="784"/>
      <c r="Q414" s="784"/>
      <c r="R414" s="784"/>
      <c r="S414" s="784"/>
      <c r="T414" s="785"/>
      <c r="U414" s="784"/>
      <c r="V414" s="784"/>
      <c r="W414" s="784"/>
      <c r="X414" s="784"/>
      <c r="Y414" s="784"/>
      <c r="Z414" s="784"/>
      <c r="AA414" s="784"/>
      <c r="AB414" s="784"/>
      <c r="AC414" s="784"/>
      <c r="AD414" s="784"/>
      <c r="AE414" s="784"/>
      <c r="AF414" s="784"/>
      <c r="AG414" s="784"/>
      <c r="AH414" s="784"/>
      <c r="AI414" s="784"/>
      <c r="AJ414" s="784"/>
      <c r="AK414" s="784"/>
      <c r="AL414" s="784"/>
      <c r="AM414" s="784"/>
      <c r="AN414" s="784"/>
      <c r="AO414" s="784"/>
      <c r="AP414" s="784"/>
      <c r="AQ414" s="784"/>
      <c r="AR414" s="784"/>
      <c r="AS414" s="784"/>
      <c r="AT414" s="784"/>
      <c r="AU414" s="784"/>
      <c r="AV414" s="784"/>
      <c r="AW414" s="784"/>
      <c r="AX414" s="784"/>
      <c r="AY414" s="784"/>
      <c r="AZ414" s="784"/>
      <c r="BA414" s="784"/>
      <c r="BB414" s="784"/>
      <c r="BC414" s="784"/>
      <c r="BD414" s="784"/>
      <c r="BE414" s="784"/>
      <c r="BF414" s="784"/>
      <c r="BG414" s="784"/>
      <c r="BH414" s="784"/>
      <c r="BI414" s="784"/>
      <c r="BJ414" s="784"/>
      <c r="BK414" s="784"/>
      <c r="BL414" s="784"/>
      <c r="BM414" s="784"/>
      <c r="BN414" s="784"/>
      <c r="BO414" s="784"/>
      <c r="BP414" s="784"/>
      <c r="BQ414" s="784"/>
      <c r="BR414" s="784"/>
      <c r="BS414" s="784"/>
      <c r="BT414" s="784"/>
      <c r="BU414" s="784"/>
      <c r="BV414" s="784"/>
      <c r="BW414" s="784"/>
      <c r="BX414" s="784"/>
      <c r="BY414" s="784"/>
      <c r="BZ414" s="784"/>
    </row>
    <row r="415" spans="1:78" ht="14.25">
      <c r="A415" s="784"/>
      <c r="B415" s="784"/>
      <c r="C415" s="784"/>
      <c r="D415" s="784"/>
      <c r="E415" s="784"/>
      <c r="F415" s="784"/>
      <c r="G415" s="784"/>
      <c r="H415" s="784"/>
      <c r="I415" s="784"/>
      <c r="J415" s="784"/>
      <c r="K415" s="784"/>
      <c r="L415" s="784"/>
      <c r="M415" s="784"/>
      <c r="N415" s="784"/>
      <c r="O415" s="784"/>
      <c r="P415" s="784"/>
      <c r="Q415" s="784"/>
      <c r="R415" s="784"/>
      <c r="S415" s="784"/>
      <c r="T415" s="785"/>
      <c r="U415" s="784"/>
      <c r="V415" s="784"/>
      <c r="W415" s="784"/>
      <c r="X415" s="784"/>
      <c r="Y415" s="784"/>
      <c r="Z415" s="784"/>
      <c r="AA415" s="784"/>
      <c r="AB415" s="784"/>
      <c r="AC415" s="784"/>
      <c r="AD415" s="784"/>
      <c r="AE415" s="784"/>
      <c r="AF415" s="784"/>
      <c r="AG415" s="784"/>
      <c r="AH415" s="784"/>
      <c r="AI415" s="784"/>
      <c r="AJ415" s="784"/>
      <c r="AK415" s="784"/>
      <c r="AL415" s="784"/>
      <c r="AM415" s="784"/>
      <c r="AN415" s="784"/>
      <c r="AO415" s="784"/>
      <c r="AP415" s="784"/>
      <c r="AQ415" s="784"/>
      <c r="AR415" s="784"/>
      <c r="AS415" s="784"/>
      <c r="AT415" s="784"/>
      <c r="AU415" s="784"/>
      <c r="AV415" s="784"/>
      <c r="AW415" s="784"/>
      <c r="AX415" s="784"/>
      <c r="AY415" s="784"/>
      <c r="AZ415" s="784"/>
      <c r="BA415" s="784"/>
      <c r="BB415" s="784"/>
      <c r="BC415" s="784"/>
      <c r="BD415" s="784"/>
      <c r="BE415" s="784"/>
      <c r="BF415" s="784"/>
      <c r="BG415" s="784"/>
      <c r="BH415" s="784"/>
      <c r="BI415" s="784"/>
      <c r="BJ415" s="784"/>
      <c r="BK415" s="784"/>
      <c r="BL415" s="784"/>
      <c r="BM415" s="784"/>
      <c r="BN415" s="784"/>
      <c r="BO415" s="784"/>
      <c r="BP415" s="784"/>
      <c r="BQ415" s="784"/>
      <c r="BR415" s="784"/>
      <c r="BS415" s="784"/>
      <c r="BT415" s="784"/>
      <c r="BU415" s="784"/>
      <c r="BV415" s="784"/>
      <c r="BW415" s="784"/>
      <c r="BX415" s="784"/>
      <c r="BY415" s="784"/>
      <c r="BZ415" s="784"/>
    </row>
    <row r="416" spans="1:78" ht="14.25">
      <c r="A416" s="784"/>
      <c r="B416" s="784"/>
      <c r="C416" s="784"/>
      <c r="D416" s="784"/>
      <c r="E416" s="784"/>
      <c r="F416" s="784"/>
      <c r="G416" s="784"/>
      <c r="H416" s="784"/>
      <c r="I416" s="784"/>
      <c r="J416" s="784"/>
      <c r="K416" s="784"/>
      <c r="L416" s="784"/>
      <c r="M416" s="784"/>
      <c r="N416" s="784"/>
      <c r="O416" s="784"/>
      <c r="P416" s="784"/>
      <c r="Q416" s="784"/>
      <c r="R416" s="784"/>
      <c r="S416" s="784"/>
      <c r="T416" s="785"/>
      <c r="U416" s="784"/>
      <c r="V416" s="784"/>
      <c r="W416" s="784"/>
      <c r="X416" s="784"/>
      <c r="Y416" s="784"/>
      <c r="Z416" s="784"/>
      <c r="AA416" s="784"/>
      <c r="AB416" s="784"/>
      <c r="AC416" s="784"/>
      <c r="AD416" s="784"/>
      <c r="AE416" s="784"/>
      <c r="AF416" s="784"/>
      <c r="AG416" s="784"/>
      <c r="AH416" s="784"/>
      <c r="AI416" s="784"/>
      <c r="AJ416" s="784"/>
      <c r="AK416" s="784"/>
      <c r="AL416" s="784"/>
      <c r="AM416" s="784"/>
      <c r="AN416" s="784"/>
      <c r="AO416" s="784"/>
      <c r="AP416" s="784"/>
      <c r="AQ416" s="784"/>
      <c r="AR416" s="784"/>
      <c r="AS416" s="784"/>
      <c r="AT416" s="784"/>
      <c r="AU416" s="784"/>
      <c r="AV416" s="784"/>
      <c r="AW416" s="784"/>
      <c r="AX416" s="784"/>
      <c r="AY416" s="784"/>
      <c r="AZ416" s="784"/>
      <c r="BA416" s="784"/>
      <c r="BB416" s="784"/>
      <c r="BC416" s="784"/>
      <c r="BD416" s="784"/>
      <c r="BE416" s="784"/>
      <c r="BF416" s="784"/>
      <c r="BG416" s="784"/>
      <c r="BH416" s="784"/>
      <c r="BI416" s="784"/>
      <c r="BJ416" s="784"/>
      <c r="BK416" s="784"/>
      <c r="BL416" s="784"/>
      <c r="BM416" s="784"/>
      <c r="BN416" s="784"/>
      <c r="BO416" s="784"/>
      <c r="BP416" s="784"/>
      <c r="BQ416" s="784"/>
      <c r="BR416" s="784"/>
      <c r="BS416" s="784"/>
      <c r="BT416" s="784"/>
      <c r="BU416" s="784"/>
      <c r="BV416" s="784"/>
      <c r="BW416" s="784"/>
      <c r="BX416" s="784"/>
      <c r="BY416" s="784"/>
      <c r="BZ416" s="784"/>
    </row>
    <row r="417" spans="1:78" ht="14.25">
      <c r="A417" s="784"/>
      <c r="B417" s="784"/>
      <c r="C417" s="784"/>
      <c r="D417" s="784"/>
      <c r="E417" s="784"/>
      <c r="F417" s="784"/>
      <c r="G417" s="784"/>
      <c r="H417" s="784"/>
      <c r="I417" s="784"/>
      <c r="J417" s="784"/>
      <c r="K417" s="784"/>
      <c r="L417" s="784"/>
      <c r="M417" s="784"/>
      <c r="N417" s="784"/>
      <c r="O417" s="784"/>
      <c r="P417" s="784"/>
      <c r="Q417" s="784"/>
      <c r="R417" s="784"/>
      <c r="S417" s="784"/>
      <c r="T417" s="785"/>
      <c r="U417" s="784"/>
      <c r="V417" s="784"/>
      <c r="W417" s="784"/>
      <c r="X417" s="784"/>
      <c r="Y417" s="784"/>
      <c r="Z417" s="784"/>
      <c r="AA417" s="784"/>
      <c r="AB417" s="784"/>
      <c r="AC417" s="784"/>
      <c r="AD417" s="784"/>
      <c r="AE417" s="784"/>
      <c r="AF417" s="784"/>
      <c r="AG417" s="784"/>
      <c r="AH417" s="784"/>
      <c r="AI417" s="784"/>
      <c r="AJ417" s="784"/>
      <c r="AK417" s="784"/>
      <c r="AL417" s="784"/>
      <c r="AM417" s="784"/>
      <c r="AN417" s="784"/>
      <c r="AO417" s="784"/>
      <c r="AP417" s="784"/>
      <c r="AQ417" s="784"/>
      <c r="AR417" s="784"/>
      <c r="AS417" s="784"/>
      <c r="AT417" s="784"/>
      <c r="AU417" s="784"/>
      <c r="AV417" s="784"/>
      <c r="AW417" s="784"/>
      <c r="AX417" s="784"/>
      <c r="AY417" s="784"/>
      <c r="AZ417" s="784"/>
      <c r="BA417" s="784"/>
      <c r="BB417" s="784"/>
      <c r="BC417" s="784"/>
      <c r="BD417" s="784"/>
      <c r="BE417" s="784"/>
      <c r="BF417" s="784"/>
      <c r="BG417" s="784"/>
      <c r="BH417" s="784"/>
      <c r="BI417" s="784"/>
      <c r="BJ417" s="784"/>
      <c r="BK417" s="784"/>
      <c r="BL417" s="784"/>
      <c r="BM417" s="784"/>
      <c r="BN417" s="784"/>
      <c r="BO417" s="784"/>
      <c r="BP417" s="784"/>
      <c r="BQ417" s="784"/>
      <c r="BR417" s="784"/>
      <c r="BS417" s="784"/>
      <c r="BT417" s="784"/>
      <c r="BU417" s="784"/>
      <c r="BV417" s="784"/>
      <c r="BW417" s="784"/>
      <c r="BX417" s="784"/>
      <c r="BY417" s="784"/>
      <c r="BZ417" s="784"/>
    </row>
    <row r="418" spans="1:78" ht="14.25">
      <c r="A418" s="784"/>
      <c r="B418" s="784"/>
      <c r="C418" s="784"/>
      <c r="D418" s="784"/>
      <c r="E418" s="784"/>
      <c r="F418" s="784"/>
      <c r="G418" s="784"/>
      <c r="H418" s="784"/>
      <c r="I418" s="784"/>
      <c r="J418" s="784"/>
      <c r="K418" s="784"/>
      <c r="L418" s="784"/>
      <c r="M418" s="784"/>
      <c r="N418" s="784"/>
      <c r="O418" s="784"/>
      <c r="P418" s="784"/>
      <c r="Q418" s="784"/>
      <c r="R418" s="784"/>
      <c r="S418" s="784"/>
      <c r="T418" s="785"/>
      <c r="U418" s="784"/>
      <c r="V418" s="784"/>
      <c r="W418" s="784"/>
      <c r="X418" s="784"/>
      <c r="Y418" s="784"/>
      <c r="Z418" s="784"/>
      <c r="AA418" s="784"/>
      <c r="AB418" s="784"/>
      <c r="AC418" s="784"/>
      <c r="AD418" s="784"/>
      <c r="AE418" s="784"/>
      <c r="AF418" s="784"/>
      <c r="AG418" s="784"/>
      <c r="AH418" s="784"/>
      <c r="AI418" s="784"/>
      <c r="AJ418" s="784"/>
      <c r="AK418" s="784"/>
      <c r="AL418" s="784"/>
      <c r="AM418" s="784"/>
      <c r="AN418" s="784"/>
      <c r="AO418" s="784"/>
      <c r="AP418" s="784"/>
      <c r="AQ418" s="784"/>
      <c r="AR418" s="784"/>
      <c r="AS418" s="784"/>
      <c r="AT418" s="784"/>
      <c r="AU418" s="784"/>
      <c r="AV418" s="784"/>
      <c r="AW418" s="784"/>
      <c r="AX418" s="784"/>
      <c r="AY418" s="784"/>
      <c r="AZ418" s="784"/>
      <c r="BA418" s="784"/>
      <c r="BB418" s="784"/>
      <c r="BC418" s="784"/>
      <c r="BD418" s="784"/>
      <c r="BE418" s="784"/>
      <c r="BF418" s="784"/>
      <c r="BG418" s="784"/>
      <c r="BH418" s="784"/>
      <c r="BI418" s="784"/>
      <c r="BJ418" s="784"/>
      <c r="BK418" s="784"/>
      <c r="BL418" s="784"/>
      <c r="BM418" s="784"/>
      <c r="BN418" s="784"/>
      <c r="BO418" s="784"/>
      <c r="BP418" s="784"/>
      <c r="BQ418" s="784"/>
      <c r="BR418" s="784"/>
      <c r="BS418" s="784"/>
      <c r="BT418" s="784"/>
      <c r="BU418" s="784"/>
      <c r="BV418" s="784"/>
      <c r="BW418" s="784"/>
      <c r="BX418" s="784"/>
      <c r="BY418" s="784"/>
      <c r="BZ418" s="784"/>
    </row>
    <row r="419" spans="1:78" ht="14.25">
      <c r="A419" s="784"/>
      <c r="B419" s="784"/>
      <c r="C419" s="784"/>
      <c r="D419" s="784"/>
      <c r="E419" s="784"/>
      <c r="F419" s="784"/>
      <c r="G419" s="784"/>
      <c r="H419" s="784"/>
      <c r="I419" s="784"/>
      <c r="J419" s="784"/>
      <c r="K419" s="784"/>
      <c r="L419" s="784"/>
      <c r="M419" s="784"/>
      <c r="N419" s="784"/>
      <c r="O419" s="784"/>
      <c r="P419" s="784"/>
      <c r="Q419" s="784"/>
      <c r="R419" s="784"/>
      <c r="S419" s="784"/>
      <c r="T419" s="785"/>
      <c r="U419" s="784"/>
      <c r="V419" s="784"/>
      <c r="W419" s="784"/>
      <c r="X419" s="784"/>
      <c r="Y419" s="784"/>
      <c r="Z419" s="784"/>
      <c r="AA419" s="784"/>
      <c r="AB419" s="784"/>
      <c r="AC419" s="784"/>
      <c r="AD419" s="784"/>
      <c r="AE419" s="784"/>
      <c r="AF419" s="784"/>
      <c r="AG419" s="784"/>
      <c r="AH419" s="784"/>
      <c r="AI419" s="784"/>
      <c r="AJ419" s="784"/>
      <c r="AK419" s="784"/>
      <c r="AL419" s="784"/>
      <c r="AM419" s="784"/>
      <c r="AN419" s="784"/>
      <c r="AO419" s="784"/>
      <c r="AP419" s="784"/>
      <c r="AQ419" s="784"/>
      <c r="AR419" s="784"/>
      <c r="AS419" s="784"/>
      <c r="AT419" s="784"/>
      <c r="AU419" s="784"/>
      <c r="AV419" s="784"/>
      <c r="AW419" s="784"/>
      <c r="AX419" s="784"/>
      <c r="AY419" s="784"/>
      <c r="AZ419" s="784"/>
      <c r="BA419" s="784"/>
      <c r="BB419" s="784"/>
      <c r="BC419" s="784"/>
      <c r="BD419" s="784"/>
      <c r="BE419" s="784"/>
      <c r="BF419" s="784"/>
      <c r="BG419" s="784"/>
      <c r="BH419" s="784"/>
      <c r="BI419" s="784"/>
      <c r="BJ419" s="784"/>
      <c r="BK419" s="784"/>
      <c r="BL419" s="784"/>
      <c r="BM419" s="784"/>
      <c r="BN419" s="784"/>
      <c r="BO419" s="784"/>
      <c r="BP419" s="784"/>
      <c r="BQ419" s="784"/>
      <c r="BR419" s="784"/>
      <c r="BS419" s="784"/>
      <c r="BT419" s="784"/>
      <c r="BU419" s="784"/>
      <c r="BV419" s="784"/>
      <c r="BW419" s="784"/>
      <c r="BX419" s="784"/>
      <c r="BY419" s="784"/>
      <c r="BZ419" s="784"/>
    </row>
    <row r="420" spans="1:78" ht="14.25">
      <c r="A420" s="784"/>
      <c r="B420" s="784"/>
      <c r="C420" s="784"/>
      <c r="D420" s="784"/>
      <c r="E420" s="784"/>
      <c r="F420" s="784"/>
      <c r="G420" s="784"/>
      <c r="H420" s="784"/>
      <c r="I420" s="784"/>
      <c r="J420" s="784"/>
      <c r="K420" s="784"/>
      <c r="L420" s="784"/>
      <c r="M420" s="784"/>
      <c r="N420" s="784"/>
      <c r="O420" s="784"/>
      <c r="P420" s="784"/>
      <c r="Q420" s="784"/>
      <c r="R420" s="784"/>
      <c r="S420" s="784"/>
      <c r="T420" s="785"/>
      <c r="U420" s="784"/>
      <c r="V420" s="784"/>
      <c r="W420" s="784"/>
      <c r="X420" s="784"/>
      <c r="Y420" s="784"/>
      <c r="Z420" s="784"/>
      <c r="AA420" s="784"/>
      <c r="AB420" s="784"/>
      <c r="AC420" s="784"/>
      <c r="AD420" s="784"/>
      <c r="AE420" s="784"/>
      <c r="AF420" s="784"/>
      <c r="AG420" s="784"/>
      <c r="AH420" s="784"/>
      <c r="AI420" s="784"/>
      <c r="AJ420" s="784"/>
      <c r="AK420" s="784"/>
      <c r="AL420" s="784"/>
      <c r="AM420" s="784"/>
      <c r="AN420" s="784"/>
      <c r="AO420" s="784"/>
      <c r="AP420" s="784"/>
      <c r="AQ420" s="784"/>
      <c r="AR420" s="784"/>
      <c r="AS420" s="784"/>
      <c r="AT420" s="784"/>
      <c r="AU420" s="784"/>
      <c r="AV420" s="784"/>
      <c r="AW420" s="784"/>
      <c r="AX420" s="784"/>
      <c r="AY420" s="784"/>
      <c r="AZ420" s="784"/>
      <c r="BA420" s="784"/>
      <c r="BB420" s="784"/>
      <c r="BC420" s="784"/>
      <c r="BD420" s="784"/>
      <c r="BE420" s="784"/>
      <c r="BF420" s="784"/>
      <c r="BG420" s="784"/>
      <c r="BH420" s="784"/>
      <c r="BI420" s="784"/>
      <c r="BJ420" s="784"/>
      <c r="BK420" s="784"/>
      <c r="BL420" s="784"/>
      <c r="BM420" s="784"/>
      <c r="BN420" s="784"/>
      <c r="BO420" s="784"/>
      <c r="BP420" s="784"/>
      <c r="BQ420" s="784"/>
      <c r="BR420" s="784"/>
      <c r="BS420" s="784"/>
      <c r="BT420" s="784"/>
      <c r="BU420" s="784"/>
      <c r="BV420" s="784"/>
      <c r="BW420" s="784"/>
      <c r="BX420" s="784"/>
      <c r="BY420" s="784"/>
      <c r="BZ420" s="784"/>
    </row>
    <row r="421" spans="1:78" ht="14.25">
      <c r="A421" s="784"/>
      <c r="B421" s="784"/>
      <c r="C421" s="784"/>
      <c r="D421" s="784"/>
      <c r="E421" s="784"/>
      <c r="F421" s="784"/>
      <c r="G421" s="784"/>
      <c r="H421" s="784"/>
      <c r="I421" s="784"/>
      <c r="J421" s="784"/>
      <c r="K421" s="784"/>
      <c r="L421" s="784"/>
      <c r="M421" s="784"/>
      <c r="N421" s="784"/>
      <c r="O421" s="784"/>
      <c r="P421" s="784"/>
      <c r="Q421" s="784"/>
      <c r="R421" s="784"/>
      <c r="S421" s="784"/>
      <c r="T421" s="785"/>
      <c r="U421" s="784"/>
      <c r="V421" s="784"/>
      <c r="W421" s="784"/>
      <c r="X421" s="784"/>
      <c r="Y421" s="784"/>
      <c r="Z421" s="784"/>
      <c r="AA421" s="784"/>
      <c r="AB421" s="784"/>
      <c r="AC421" s="784"/>
      <c r="AD421" s="784"/>
      <c r="AE421" s="784"/>
      <c r="AF421" s="784"/>
      <c r="AG421" s="784"/>
      <c r="AH421" s="784"/>
      <c r="AI421" s="784"/>
      <c r="AJ421" s="784"/>
      <c r="AK421" s="784"/>
      <c r="AL421" s="784"/>
      <c r="AM421" s="784"/>
      <c r="AN421" s="784"/>
      <c r="AO421" s="784"/>
      <c r="AP421" s="784"/>
      <c r="AQ421" s="784"/>
      <c r="AR421" s="784"/>
      <c r="AS421" s="784"/>
      <c r="AT421" s="784"/>
      <c r="AU421" s="784"/>
      <c r="AV421" s="784"/>
      <c r="AW421" s="784"/>
      <c r="AX421" s="784"/>
      <c r="AY421" s="784"/>
      <c r="AZ421" s="784"/>
      <c r="BA421" s="784"/>
      <c r="BB421" s="784"/>
      <c r="BC421" s="784"/>
      <c r="BD421" s="784"/>
      <c r="BE421" s="784"/>
      <c r="BF421" s="784"/>
      <c r="BG421" s="784"/>
      <c r="BH421" s="784"/>
      <c r="BI421" s="784"/>
      <c r="BJ421" s="784"/>
      <c r="BK421" s="784"/>
      <c r="BL421" s="784"/>
      <c r="BM421" s="784"/>
      <c r="BN421" s="784"/>
      <c r="BO421" s="784"/>
      <c r="BP421" s="784"/>
      <c r="BQ421" s="784"/>
      <c r="BR421" s="784"/>
      <c r="BS421" s="784"/>
      <c r="BT421" s="784"/>
      <c r="BU421" s="784"/>
      <c r="BV421" s="784"/>
      <c r="BW421" s="784"/>
      <c r="BX421" s="784"/>
      <c r="BY421" s="784"/>
      <c r="BZ421" s="784"/>
    </row>
    <row r="422" spans="1:78" ht="14.25">
      <c r="A422" s="784"/>
      <c r="B422" s="784"/>
      <c r="C422" s="784"/>
      <c r="D422" s="784"/>
      <c r="E422" s="784"/>
      <c r="F422" s="784"/>
      <c r="G422" s="784"/>
      <c r="H422" s="784"/>
      <c r="I422" s="784"/>
      <c r="J422" s="784"/>
      <c r="K422" s="784"/>
      <c r="L422" s="784"/>
      <c r="M422" s="784"/>
      <c r="N422" s="784"/>
      <c r="O422" s="784"/>
      <c r="P422" s="784"/>
      <c r="Q422" s="784"/>
      <c r="R422" s="784"/>
      <c r="S422" s="784"/>
      <c r="T422" s="785"/>
      <c r="U422" s="784"/>
      <c r="V422" s="784"/>
      <c r="W422" s="784"/>
      <c r="X422" s="784"/>
      <c r="Y422" s="784"/>
      <c r="Z422" s="784"/>
      <c r="AA422" s="784"/>
      <c r="AB422" s="784"/>
      <c r="AC422" s="784"/>
      <c r="AD422" s="784"/>
      <c r="AE422" s="784"/>
      <c r="AF422" s="784"/>
      <c r="AG422" s="784"/>
      <c r="AH422" s="784"/>
      <c r="AI422" s="784"/>
      <c r="AJ422" s="784"/>
      <c r="AK422" s="784"/>
      <c r="AL422" s="784"/>
      <c r="AM422" s="784"/>
      <c r="AN422" s="784"/>
      <c r="AO422" s="784"/>
      <c r="AP422" s="784"/>
      <c r="AQ422" s="784"/>
      <c r="AR422" s="784"/>
      <c r="AS422" s="784"/>
      <c r="AT422" s="784"/>
      <c r="AU422" s="784"/>
      <c r="AV422" s="784"/>
      <c r="AW422" s="784"/>
      <c r="AX422" s="784"/>
      <c r="AY422" s="784"/>
      <c r="AZ422" s="784"/>
      <c r="BA422" s="784"/>
      <c r="BB422" s="784"/>
      <c r="BC422" s="784"/>
      <c r="BD422" s="784"/>
      <c r="BE422" s="784"/>
      <c r="BF422" s="784"/>
      <c r="BG422" s="784"/>
      <c r="BH422" s="784"/>
      <c r="BI422" s="784"/>
      <c r="BJ422" s="784"/>
      <c r="BK422" s="784"/>
      <c r="BL422" s="784"/>
      <c r="BM422" s="784"/>
      <c r="BN422" s="784"/>
      <c r="BO422" s="784"/>
      <c r="BP422" s="784"/>
      <c r="BQ422" s="784"/>
      <c r="BR422" s="784"/>
      <c r="BS422" s="784"/>
      <c r="BT422" s="784"/>
      <c r="BU422" s="784"/>
      <c r="BV422" s="784"/>
      <c r="BW422" s="784"/>
      <c r="BX422" s="784"/>
      <c r="BY422" s="784"/>
      <c r="BZ422" s="784"/>
    </row>
    <row r="423" spans="1:78" ht="14.25">
      <c r="A423" s="784"/>
      <c r="B423" s="784"/>
      <c r="C423" s="784"/>
      <c r="D423" s="784"/>
      <c r="E423" s="784"/>
      <c r="F423" s="784"/>
      <c r="G423" s="784"/>
      <c r="H423" s="784"/>
      <c r="I423" s="784"/>
      <c r="J423" s="784"/>
      <c r="K423" s="784"/>
      <c r="L423" s="784"/>
      <c r="M423" s="784"/>
      <c r="N423" s="784"/>
      <c r="O423" s="784"/>
      <c r="P423" s="784"/>
      <c r="Q423" s="784"/>
      <c r="R423" s="784"/>
      <c r="S423" s="784"/>
      <c r="T423" s="785"/>
      <c r="U423" s="784"/>
      <c r="V423" s="784"/>
      <c r="W423" s="784"/>
      <c r="X423" s="784"/>
      <c r="Y423" s="784"/>
      <c r="Z423" s="784"/>
      <c r="AA423" s="784"/>
      <c r="AB423" s="784"/>
      <c r="AC423" s="784"/>
      <c r="AD423" s="784"/>
      <c r="AE423" s="784"/>
      <c r="AF423" s="784"/>
      <c r="AG423" s="784"/>
      <c r="AH423" s="784"/>
      <c r="AI423" s="784"/>
      <c r="AJ423" s="784"/>
      <c r="AK423" s="784"/>
      <c r="AL423" s="784"/>
      <c r="AM423" s="784"/>
      <c r="AN423" s="784"/>
      <c r="AO423" s="784"/>
      <c r="AP423" s="784"/>
      <c r="AQ423" s="784"/>
      <c r="AR423" s="784"/>
      <c r="AS423" s="784"/>
      <c r="AT423" s="784"/>
      <c r="AU423" s="784"/>
      <c r="AV423" s="784"/>
      <c r="AW423" s="784"/>
      <c r="AX423" s="784"/>
      <c r="AY423" s="784"/>
      <c r="AZ423" s="784"/>
      <c r="BA423" s="784"/>
      <c r="BB423" s="784"/>
      <c r="BC423" s="784"/>
      <c r="BD423" s="784"/>
      <c r="BE423" s="784"/>
      <c r="BF423" s="784"/>
      <c r="BG423" s="784"/>
      <c r="BH423" s="784"/>
      <c r="BI423" s="784"/>
      <c r="BJ423" s="784"/>
      <c r="BK423" s="784"/>
      <c r="BL423" s="784"/>
      <c r="BM423" s="784"/>
      <c r="BN423" s="784"/>
      <c r="BO423" s="784"/>
      <c r="BP423" s="784"/>
      <c r="BQ423" s="784"/>
      <c r="BR423" s="784"/>
      <c r="BS423" s="784"/>
      <c r="BT423" s="784"/>
      <c r="BU423" s="784"/>
      <c r="BV423" s="784"/>
      <c r="BW423" s="784"/>
      <c r="BX423" s="784"/>
      <c r="BY423" s="784"/>
      <c r="BZ423" s="784"/>
    </row>
    <row r="424" spans="1:78" ht="14.25">
      <c r="A424" s="784"/>
      <c r="B424" s="784"/>
      <c r="C424" s="784"/>
      <c r="D424" s="784"/>
      <c r="E424" s="784"/>
      <c r="F424" s="784"/>
      <c r="G424" s="784"/>
      <c r="H424" s="784"/>
      <c r="I424" s="784"/>
      <c r="J424" s="784"/>
      <c r="K424" s="784"/>
      <c r="L424" s="784"/>
      <c r="M424" s="784"/>
      <c r="N424" s="784"/>
      <c r="O424" s="784"/>
      <c r="P424" s="784"/>
      <c r="Q424" s="784"/>
      <c r="R424" s="784"/>
      <c r="S424" s="784"/>
      <c r="T424" s="785"/>
      <c r="U424" s="784"/>
      <c r="V424" s="784"/>
      <c r="W424" s="784"/>
      <c r="X424" s="784"/>
      <c r="Y424" s="784"/>
      <c r="Z424" s="784"/>
      <c r="AA424" s="784"/>
      <c r="AB424" s="784"/>
      <c r="AC424" s="784"/>
      <c r="AD424" s="784"/>
      <c r="AE424" s="784"/>
      <c r="AF424" s="784"/>
      <c r="AG424" s="784"/>
      <c r="AH424" s="784"/>
      <c r="AI424" s="784"/>
      <c r="AJ424" s="784"/>
      <c r="AK424" s="784"/>
      <c r="AL424" s="784"/>
      <c r="AM424" s="784"/>
      <c r="AN424" s="784"/>
      <c r="AO424" s="784"/>
      <c r="AP424" s="784"/>
      <c r="AQ424" s="784"/>
      <c r="AR424" s="784"/>
      <c r="AS424" s="784"/>
      <c r="AT424" s="784"/>
      <c r="AU424" s="784"/>
      <c r="AV424" s="784"/>
      <c r="AW424" s="784"/>
      <c r="AX424" s="784"/>
      <c r="AY424" s="784"/>
      <c r="AZ424" s="784"/>
      <c r="BA424" s="784"/>
      <c r="BB424" s="784"/>
      <c r="BC424" s="784"/>
      <c r="BD424" s="784"/>
      <c r="BE424" s="784"/>
      <c r="BF424" s="784"/>
      <c r="BG424" s="784"/>
      <c r="BH424" s="784"/>
      <c r="BI424" s="784"/>
      <c r="BJ424" s="784"/>
      <c r="BK424" s="784"/>
      <c r="BL424" s="784"/>
      <c r="BM424" s="784"/>
      <c r="BN424" s="784"/>
      <c r="BO424" s="784"/>
      <c r="BP424" s="784"/>
      <c r="BQ424" s="784"/>
      <c r="BR424" s="784"/>
      <c r="BS424" s="784"/>
      <c r="BT424" s="784"/>
      <c r="BU424" s="784"/>
      <c r="BV424" s="784"/>
      <c r="BW424" s="784"/>
      <c r="BX424" s="784"/>
      <c r="BY424" s="784"/>
      <c r="BZ424" s="784"/>
    </row>
    <row r="425" spans="1:78" ht="14.25">
      <c r="A425" s="784"/>
      <c r="B425" s="784"/>
      <c r="C425" s="784"/>
      <c r="D425" s="784"/>
      <c r="E425" s="784"/>
      <c r="F425" s="784"/>
      <c r="G425" s="784"/>
      <c r="H425" s="784"/>
      <c r="I425" s="784"/>
      <c r="J425" s="784"/>
      <c r="K425" s="784"/>
      <c r="L425" s="784"/>
      <c r="M425" s="784"/>
      <c r="N425" s="784"/>
      <c r="O425" s="784"/>
      <c r="P425" s="784"/>
      <c r="Q425" s="784"/>
      <c r="R425" s="784"/>
      <c r="S425" s="784"/>
      <c r="T425" s="785"/>
      <c r="U425" s="784"/>
      <c r="V425" s="784"/>
      <c r="W425" s="784"/>
      <c r="X425" s="784"/>
      <c r="Y425" s="784"/>
      <c r="Z425" s="784"/>
      <c r="AA425" s="784"/>
      <c r="AB425" s="784"/>
      <c r="AC425" s="784"/>
      <c r="AD425" s="784"/>
      <c r="AE425" s="784"/>
      <c r="AF425" s="784"/>
      <c r="AG425" s="784"/>
      <c r="AH425" s="784"/>
      <c r="AI425" s="784"/>
      <c r="AJ425" s="784"/>
      <c r="AK425" s="784"/>
      <c r="AL425" s="784"/>
      <c r="AM425" s="784"/>
      <c r="AN425" s="784"/>
      <c r="AO425" s="784"/>
      <c r="AP425" s="784"/>
      <c r="AQ425" s="784"/>
      <c r="AR425" s="784"/>
      <c r="AS425" s="784"/>
      <c r="AT425" s="784"/>
      <c r="AU425" s="784"/>
      <c r="AV425" s="784"/>
      <c r="AW425" s="784"/>
      <c r="AX425" s="784"/>
      <c r="AY425" s="784"/>
      <c r="AZ425" s="784"/>
      <c r="BA425" s="784"/>
      <c r="BB425" s="784"/>
      <c r="BC425" s="784"/>
      <c r="BD425" s="784"/>
      <c r="BE425" s="784"/>
      <c r="BF425" s="784"/>
      <c r="BG425" s="784"/>
      <c r="BH425" s="784"/>
      <c r="BI425" s="784"/>
      <c r="BJ425" s="784"/>
      <c r="BK425" s="784"/>
      <c r="BL425" s="784"/>
      <c r="BM425" s="784"/>
      <c r="BN425" s="784"/>
      <c r="BO425" s="784"/>
      <c r="BP425" s="784"/>
      <c r="BQ425" s="784"/>
      <c r="BR425" s="784"/>
      <c r="BS425" s="784"/>
      <c r="BT425" s="784"/>
      <c r="BU425" s="784"/>
      <c r="BV425" s="784"/>
      <c r="BW425" s="784"/>
      <c r="BX425" s="784"/>
      <c r="BY425" s="784"/>
      <c r="BZ425" s="784"/>
    </row>
    <row r="426" spans="1:78" ht="14.25">
      <c r="A426" s="784"/>
      <c r="B426" s="784"/>
      <c r="C426" s="784"/>
      <c r="D426" s="784"/>
      <c r="E426" s="784"/>
      <c r="F426" s="784"/>
      <c r="G426" s="784"/>
      <c r="H426" s="784"/>
      <c r="I426" s="784"/>
      <c r="J426" s="784"/>
      <c r="K426" s="784"/>
      <c r="L426" s="784"/>
      <c r="M426" s="784"/>
      <c r="N426" s="784"/>
      <c r="O426" s="784"/>
      <c r="P426" s="784"/>
      <c r="Q426" s="784"/>
      <c r="R426" s="784"/>
      <c r="S426" s="784"/>
      <c r="T426" s="785"/>
      <c r="U426" s="784"/>
      <c r="V426" s="784"/>
      <c r="W426" s="784"/>
      <c r="X426" s="784"/>
      <c r="Y426" s="784"/>
      <c r="Z426" s="784"/>
      <c r="AA426" s="784"/>
      <c r="AB426" s="784"/>
      <c r="AC426" s="784"/>
      <c r="AD426" s="784"/>
      <c r="AE426" s="784"/>
      <c r="AF426" s="784"/>
      <c r="AG426" s="784"/>
      <c r="AH426" s="784"/>
      <c r="AI426" s="784"/>
      <c r="AJ426" s="784"/>
      <c r="AK426" s="784"/>
      <c r="AL426" s="784"/>
      <c r="AM426" s="784"/>
      <c r="AN426" s="784"/>
      <c r="AO426" s="784"/>
      <c r="AP426" s="784"/>
      <c r="AQ426" s="784"/>
      <c r="AR426" s="784"/>
      <c r="AS426" s="784"/>
      <c r="AT426" s="784"/>
      <c r="AU426" s="784"/>
      <c r="AV426" s="784"/>
      <c r="AW426" s="784"/>
      <c r="AX426" s="784"/>
      <c r="AY426" s="784"/>
      <c r="AZ426" s="784"/>
      <c r="BA426" s="784"/>
      <c r="BB426" s="784"/>
      <c r="BC426" s="784"/>
      <c r="BD426" s="784"/>
      <c r="BE426" s="784"/>
      <c r="BF426" s="784"/>
      <c r="BG426" s="784"/>
      <c r="BH426" s="784"/>
      <c r="BI426" s="784"/>
      <c r="BJ426" s="784"/>
      <c r="BK426" s="784"/>
      <c r="BL426" s="784"/>
      <c r="BM426" s="784"/>
      <c r="BN426" s="784"/>
      <c r="BO426" s="784"/>
      <c r="BP426" s="784"/>
      <c r="BQ426" s="784"/>
      <c r="BR426" s="784"/>
      <c r="BS426" s="784"/>
      <c r="BT426" s="784"/>
      <c r="BU426" s="784"/>
      <c r="BV426" s="784"/>
      <c r="BW426" s="784"/>
      <c r="BX426" s="784"/>
      <c r="BY426" s="784"/>
      <c r="BZ426" s="784"/>
    </row>
    <row r="427" spans="1:78" ht="14.25">
      <c r="A427" s="784"/>
      <c r="B427" s="784"/>
      <c r="C427" s="784"/>
      <c r="D427" s="784"/>
      <c r="E427" s="784"/>
      <c r="F427" s="784"/>
      <c r="G427" s="784"/>
      <c r="H427" s="784"/>
      <c r="I427" s="784"/>
      <c r="J427" s="784"/>
      <c r="K427" s="784"/>
      <c r="L427" s="784"/>
      <c r="M427" s="784"/>
      <c r="N427" s="784"/>
      <c r="O427" s="784"/>
      <c r="P427" s="784"/>
      <c r="Q427" s="784"/>
      <c r="R427" s="784"/>
      <c r="S427" s="784"/>
      <c r="T427" s="785"/>
      <c r="U427" s="784"/>
      <c r="V427" s="784"/>
      <c r="W427" s="784"/>
      <c r="X427" s="784"/>
      <c r="Y427" s="784"/>
      <c r="Z427" s="784"/>
      <c r="AA427" s="784"/>
      <c r="AB427" s="784"/>
      <c r="AC427" s="784"/>
      <c r="AD427" s="784"/>
      <c r="AE427" s="784"/>
      <c r="AF427" s="784"/>
      <c r="AG427" s="784"/>
      <c r="AH427" s="784"/>
      <c r="AI427" s="784"/>
      <c r="AJ427" s="784"/>
      <c r="AK427" s="784"/>
      <c r="AL427" s="784"/>
      <c r="AM427" s="784"/>
      <c r="AN427" s="784"/>
      <c r="AO427" s="784"/>
      <c r="AP427" s="784"/>
      <c r="AQ427" s="784"/>
      <c r="AR427" s="784"/>
      <c r="AS427" s="784"/>
      <c r="AT427" s="784"/>
      <c r="AU427" s="784"/>
      <c r="AV427" s="784"/>
      <c r="AW427" s="784"/>
      <c r="AX427" s="784"/>
      <c r="AY427" s="784"/>
      <c r="AZ427" s="784"/>
      <c r="BA427" s="784"/>
      <c r="BB427" s="784"/>
      <c r="BC427" s="784"/>
      <c r="BD427" s="784"/>
      <c r="BE427" s="784"/>
      <c r="BF427" s="784"/>
      <c r="BG427" s="784"/>
      <c r="BH427" s="784"/>
      <c r="BI427" s="784"/>
      <c r="BJ427" s="784"/>
      <c r="BK427" s="784"/>
      <c r="BL427" s="784"/>
      <c r="BM427" s="784"/>
      <c r="BN427" s="784"/>
      <c r="BO427" s="784"/>
      <c r="BP427" s="784"/>
      <c r="BQ427" s="784"/>
      <c r="BR427" s="784"/>
      <c r="BS427" s="784"/>
      <c r="BT427" s="784"/>
      <c r="BU427" s="784"/>
      <c r="BV427" s="784"/>
      <c r="BW427" s="784"/>
      <c r="BX427" s="784"/>
      <c r="BY427" s="784"/>
      <c r="BZ427" s="784"/>
    </row>
    <row r="428" spans="1:78" ht="14.25">
      <c r="A428" s="784"/>
      <c r="B428" s="784"/>
      <c r="C428" s="784"/>
      <c r="D428" s="784"/>
      <c r="E428" s="784"/>
      <c r="F428" s="784"/>
      <c r="G428" s="784"/>
      <c r="H428" s="784"/>
      <c r="I428" s="784"/>
      <c r="J428" s="784"/>
      <c r="K428" s="784"/>
      <c r="L428" s="784"/>
      <c r="M428" s="784"/>
      <c r="N428" s="784"/>
      <c r="O428" s="784"/>
      <c r="P428" s="784"/>
      <c r="Q428" s="784"/>
      <c r="R428" s="784"/>
      <c r="S428" s="784"/>
      <c r="T428" s="785"/>
      <c r="U428" s="784"/>
      <c r="V428" s="784"/>
      <c r="W428" s="784"/>
      <c r="X428" s="784"/>
      <c r="Y428" s="784"/>
      <c r="Z428" s="784"/>
      <c r="AA428" s="784"/>
      <c r="AB428" s="784"/>
      <c r="AC428" s="784"/>
      <c r="AD428" s="784"/>
      <c r="AE428" s="784"/>
      <c r="AF428" s="784"/>
      <c r="AG428" s="784"/>
      <c r="AH428" s="784"/>
      <c r="AI428" s="784"/>
      <c r="AJ428" s="784"/>
      <c r="AK428" s="784"/>
      <c r="AL428" s="784"/>
      <c r="AM428" s="784"/>
      <c r="AN428" s="784"/>
      <c r="AO428" s="784"/>
      <c r="AP428" s="784"/>
      <c r="AQ428" s="784"/>
      <c r="AR428" s="784"/>
      <c r="AS428" s="784"/>
      <c r="AT428" s="784"/>
      <c r="AU428" s="784"/>
      <c r="AV428" s="784"/>
      <c r="AW428" s="784"/>
      <c r="AX428" s="784"/>
      <c r="AY428" s="784"/>
      <c r="AZ428" s="784"/>
      <c r="BA428" s="784"/>
      <c r="BB428" s="784"/>
      <c r="BC428" s="784"/>
      <c r="BD428" s="784"/>
      <c r="BE428" s="784"/>
      <c r="BF428" s="784"/>
      <c r="BG428" s="784"/>
      <c r="BH428" s="784"/>
      <c r="BI428" s="784"/>
      <c r="BJ428" s="784"/>
      <c r="BK428" s="784"/>
      <c r="BL428" s="784"/>
      <c r="BM428" s="784"/>
      <c r="BN428" s="784"/>
      <c r="BO428" s="784"/>
      <c r="BP428" s="784"/>
      <c r="BQ428" s="784"/>
      <c r="BR428" s="784"/>
      <c r="BS428" s="784"/>
      <c r="BT428" s="784"/>
      <c r="BU428" s="784"/>
      <c r="BV428" s="784"/>
      <c r="BW428" s="784"/>
      <c r="BX428" s="784"/>
      <c r="BY428" s="784"/>
      <c r="BZ428" s="784"/>
    </row>
    <row r="429" spans="1:78" ht="14.25">
      <c r="A429" s="784"/>
      <c r="B429" s="784"/>
      <c r="C429" s="784"/>
      <c r="D429" s="784"/>
      <c r="E429" s="784"/>
      <c r="F429" s="784"/>
      <c r="G429" s="784"/>
      <c r="H429" s="784"/>
      <c r="I429" s="784"/>
      <c r="J429" s="784"/>
      <c r="K429" s="784"/>
      <c r="L429" s="784"/>
      <c r="M429" s="784"/>
      <c r="N429" s="784"/>
      <c r="O429" s="784"/>
      <c r="P429" s="784"/>
      <c r="Q429" s="784"/>
      <c r="R429" s="784"/>
      <c r="S429" s="784"/>
      <c r="T429" s="785"/>
      <c r="U429" s="784"/>
      <c r="V429" s="784"/>
      <c r="W429" s="784"/>
      <c r="X429" s="784"/>
      <c r="Y429" s="784"/>
      <c r="Z429" s="784"/>
      <c r="AA429" s="784"/>
      <c r="AB429" s="784"/>
      <c r="AC429" s="784"/>
      <c r="AD429" s="784"/>
      <c r="AE429" s="784"/>
      <c r="AF429" s="784"/>
      <c r="AG429" s="784"/>
      <c r="AH429" s="784"/>
      <c r="AI429" s="784"/>
      <c r="AJ429" s="784"/>
      <c r="AK429" s="784"/>
      <c r="AL429" s="784"/>
      <c r="AM429" s="784"/>
      <c r="AN429" s="784"/>
      <c r="AO429" s="784"/>
      <c r="AP429" s="784"/>
      <c r="AQ429" s="784"/>
      <c r="AR429" s="784"/>
      <c r="AS429" s="784"/>
      <c r="AT429" s="784"/>
      <c r="AU429" s="784"/>
      <c r="AV429" s="784"/>
      <c r="AW429" s="784"/>
      <c r="AX429" s="784"/>
      <c r="AY429" s="784"/>
      <c r="AZ429" s="784"/>
      <c r="BA429" s="784"/>
      <c r="BB429" s="784"/>
      <c r="BC429" s="784"/>
      <c r="BD429" s="784"/>
      <c r="BE429" s="784"/>
      <c r="BF429" s="784"/>
      <c r="BG429" s="784"/>
      <c r="BH429" s="784"/>
      <c r="BI429" s="784"/>
      <c r="BJ429" s="784"/>
      <c r="BK429" s="784"/>
      <c r="BL429" s="784"/>
      <c r="BM429" s="784"/>
      <c r="BN429" s="784"/>
      <c r="BO429" s="784"/>
      <c r="BP429" s="784"/>
      <c r="BQ429" s="784"/>
      <c r="BR429" s="784"/>
      <c r="BS429" s="784"/>
      <c r="BT429" s="784"/>
      <c r="BU429" s="784"/>
      <c r="BV429" s="784"/>
      <c r="BW429" s="784"/>
      <c r="BX429" s="784"/>
      <c r="BY429" s="784"/>
      <c r="BZ429" s="784"/>
    </row>
    <row r="430" spans="1:78" ht="14.25">
      <c r="A430" s="784"/>
      <c r="B430" s="784"/>
      <c r="C430" s="784"/>
      <c r="D430" s="784"/>
      <c r="E430" s="784"/>
      <c r="F430" s="784"/>
      <c r="G430" s="784"/>
      <c r="H430" s="784"/>
      <c r="I430" s="784"/>
      <c r="J430" s="784"/>
      <c r="K430" s="784"/>
      <c r="L430" s="784"/>
      <c r="M430" s="784"/>
      <c r="N430" s="784"/>
      <c r="O430" s="784"/>
      <c r="P430" s="784"/>
      <c r="Q430" s="784"/>
      <c r="R430" s="784"/>
      <c r="S430" s="784"/>
      <c r="T430" s="785"/>
      <c r="U430" s="784"/>
      <c r="V430" s="784"/>
      <c r="W430" s="784"/>
      <c r="X430" s="784"/>
      <c r="Y430" s="784"/>
      <c r="Z430" s="784"/>
      <c r="AA430" s="784"/>
      <c r="AB430" s="784"/>
      <c r="AC430" s="784"/>
      <c r="AD430" s="784"/>
      <c r="AE430" s="784"/>
      <c r="AF430" s="784"/>
      <c r="AG430" s="784"/>
      <c r="AH430" s="784"/>
      <c r="AI430" s="784"/>
      <c r="AJ430" s="784"/>
      <c r="AK430" s="784"/>
      <c r="AL430" s="784"/>
      <c r="AM430" s="784"/>
      <c r="AN430" s="784"/>
      <c r="AO430" s="784"/>
      <c r="AP430" s="784"/>
      <c r="AQ430" s="784"/>
      <c r="AR430" s="784"/>
      <c r="AS430" s="784"/>
      <c r="AT430" s="784"/>
      <c r="AU430" s="784"/>
      <c r="AV430" s="784"/>
      <c r="AW430" s="784"/>
      <c r="AX430" s="784"/>
      <c r="AY430" s="784"/>
      <c r="AZ430" s="784"/>
      <c r="BA430" s="784"/>
      <c r="BB430" s="784"/>
      <c r="BC430" s="784"/>
      <c r="BD430" s="784"/>
      <c r="BE430" s="784"/>
      <c r="BF430" s="784"/>
      <c r="BG430" s="784"/>
      <c r="BH430" s="784"/>
      <c r="BI430" s="784"/>
      <c r="BJ430" s="784"/>
      <c r="BK430" s="784"/>
      <c r="BL430" s="784"/>
      <c r="BM430" s="784"/>
      <c r="BN430" s="784"/>
      <c r="BO430" s="784"/>
      <c r="BP430" s="784"/>
      <c r="BQ430" s="784"/>
      <c r="BR430" s="784"/>
      <c r="BS430" s="784"/>
      <c r="BT430" s="784"/>
      <c r="BU430" s="784"/>
      <c r="BV430" s="784"/>
      <c r="BW430" s="784"/>
      <c r="BX430" s="784"/>
      <c r="BY430" s="784"/>
      <c r="BZ430" s="784"/>
    </row>
    <row r="431" spans="1:78" ht="14.25">
      <c r="A431" s="784"/>
      <c r="B431" s="784"/>
      <c r="C431" s="784"/>
      <c r="D431" s="784"/>
      <c r="E431" s="784"/>
      <c r="F431" s="784"/>
      <c r="G431" s="784"/>
      <c r="H431" s="784"/>
      <c r="I431" s="784"/>
      <c r="J431" s="784"/>
      <c r="K431" s="784"/>
      <c r="L431" s="784"/>
      <c r="M431" s="784"/>
      <c r="N431" s="784"/>
      <c r="O431" s="784"/>
      <c r="P431" s="784"/>
      <c r="Q431" s="784"/>
      <c r="R431" s="784"/>
      <c r="S431" s="784"/>
      <c r="T431" s="785"/>
      <c r="U431" s="784"/>
      <c r="V431" s="784"/>
      <c r="W431" s="784"/>
      <c r="X431" s="784"/>
      <c r="Y431" s="784"/>
      <c r="Z431" s="784"/>
      <c r="AA431" s="784"/>
      <c r="AB431" s="784"/>
      <c r="AC431" s="784"/>
      <c r="AD431" s="784"/>
      <c r="AE431" s="784"/>
      <c r="AF431" s="784"/>
      <c r="AG431" s="784"/>
      <c r="AH431" s="784"/>
      <c r="AI431" s="784"/>
      <c r="AJ431" s="784"/>
      <c r="AK431" s="784"/>
      <c r="AL431" s="784"/>
      <c r="AM431" s="784"/>
      <c r="AN431" s="784"/>
      <c r="AO431" s="784"/>
      <c r="AP431" s="784"/>
      <c r="AQ431" s="784"/>
      <c r="AR431" s="784"/>
      <c r="AS431" s="784"/>
      <c r="AT431" s="784"/>
      <c r="AU431" s="784"/>
      <c r="AV431" s="784"/>
      <c r="AW431" s="784"/>
      <c r="AX431" s="784"/>
      <c r="AY431" s="784"/>
      <c r="AZ431" s="784"/>
      <c r="BA431" s="784"/>
      <c r="BB431" s="784"/>
      <c r="BC431" s="784"/>
      <c r="BD431" s="784"/>
      <c r="BE431" s="784"/>
      <c r="BF431" s="784"/>
      <c r="BG431" s="784"/>
      <c r="BH431" s="784"/>
      <c r="BI431" s="784"/>
      <c r="BJ431" s="784"/>
      <c r="BK431" s="784"/>
      <c r="BL431" s="784"/>
      <c r="BM431" s="784"/>
      <c r="BN431" s="784"/>
      <c r="BO431" s="784"/>
      <c r="BP431" s="784"/>
      <c r="BQ431" s="784"/>
      <c r="BR431" s="784"/>
      <c r="BS431" s="784"/>
      <c r="BT431" s="784"/>
      <c r="BU431" s="784"/>
      <c r="BV431" s="784"/>
      <c r="BW431" s="784"/>
      <c r="BX431" s="784"/>
      <c r="BY431" s="784"/>
      <c r="BZ431" s="784"/>
    </row>
    <row r="432" spans="1:78" ht="14.25">
      <c r="A432" s="784"/>
      <c r="B432" s="784"/>
      <c r="C432" s="784"/>
      <c r="D432" s="784"/>
      <c r="E432" s="784"/>
      <c r="F432" s="784"/>
      <c r="G432" s="784"/>
      <c r="H432" s="784"/>
      <c r="I432" s="784"/>
      <c r="J432" s="784"/>
      <c r="K432" s="784"/>
      <c r="L432" s="784"/>
      <c r="M432" s="784"/>
      <c r="N432" s="784"/>
      <c r="O432" s="784"/>
      <c r="P432" s="784"/>
      <c r="Q432" s="784"/>
      <c r="R432" s="784"/>
      <c r="S432" s="784"/>
      <c r="T432" s="785"/>
      <c r="U432" s="784"/>
      <c r="V432" s="784"/>
      <c r="W432" s="784"/>
      <c r="X432" s="784"/>
      <c r="Y432" s="784"/>
      <c r="Z432" s="784"/>
      <c r="AA432" s="784"/>
      <c r="AB432" s="784"/>
      <c r="AC432" s="784"/>
      <c r="AD432" s="784"/>
      <c r="AE432" s="784"/>
      <c r="AF432" s="784"/>
      <c r="AG432" s="784"/>
      <c r="AH432" s="784"/>
      <c r="AI432" s="784"/>
      <c r="AJ432" s="784"/>
      <c r="AK432" s="784"/>
      <c r="AL432" s="784"/>
      <c r="AM432" s="784"/>
      <c r="AN432" s="784"/>
      <c r="AO432" s="784"/>
      <c r="AP432" s="784"/>
      <c r="AQ432" s="784"/>
      <c r="AR432" s="784"/>
      <c r="AS432" s="784"/>
      <c r="AT432" s="784"/>
      <c r="AU432" s="784"/>
      <c r="AV432" s="784"/>
      <c r="AW432" s="784"/>
      <c r="AX432" s="784"/>
      <c r="AY432" s="784"/>
      <c r="AZ432" s="784"/>
      <c r="BA432" s="784"/>
      <c r="BB432" s="784"/>
      <c r="BC432" s="784"/>
      <c r="BD432" s="784"/>
      <c r="BE432" s="784"/>
      <c r="BF432" s="784"/>
      <c r="BG432" s="784"/>
      <c r="BH432" s="784"/>
      <c r="BI432" s="784"/>
      <c r="BJ432" s="784"/>
      <c r="BK432" s="784"/>
      <c r="BL432" s="784"/>
      <c r="BM432" s="784"/>
      <c r="BN432" s="784"/>
      <c r="BO432" s="784"/>
      <c r="BP432" s="784"/>
      <c r="BQ432" s="784"/>
      <c r="BR432" s="784"/>
      <c r="BS432" s="784"/>
      <c r="BT432" s="784"/>
      <c r="BU432" s="784"/>
      <c r="BV432" s="784"/>
      <c r="BW432" s="784"/>
      <c r="BX432" s="784"/>
      <c r="BY432" s="784"/>
      <c r="BZ432" s="784"/>
    </row>
    <row r="433" spans="1:78" ht="14.25">
      <c r="A433" s="784"/>
      <c r="B433" s="784"/>
      <c r="C433" s="784"/>
      <c r="D433" s="784"/>
      <c r="E433" s="784"/>
      <c r="F433" s="784"/>
      <c r="G433" s="784"/>
      <c r="H433" s="784"/>
      <c r="I433" s="784"/>
      <c r="J433" s="784"/>
      <c r="K433" s="784"/>
      <c r="L433" s="784"/>
      <c r="M433" s="784"/>
      <c r="N433" s="784"/>
      <c r="O433" s="784"/>
      <c r="P433" s="784"/>
      <c r="Q433" s="784"/>
      <c r="R433" s="784"/>
      <c r="S433" s="784"/>
      <c r="T433" s="785"/>
      <c r="U433" s="784"/>
      <c r="V433" s="784"/>
      <c r="W433" s="784"/>
      <c r="X433" s="784"/>
      <c r="Y433" s="784"/>
      <c r="Z433" s="784"/>
      <c r="AA433" s="784"/>
      <c r="AB433" s="784"/>
      <c r="AC433" s="784"/>
      <c r="AD433" s="784"/>
      <c r="AE433" s="784"/>
      <c r="AF433" s="784"/>
      <c r="AG433" s="784"/>
      <c r="AH433" s="784"/>
      <c r="AI433" s="784"/>
      <c r="AJ433" s="784"/>
      <c r="AK433" s="784"/>
      <c r="AL433" s="784"/>
      <c r="AM433" s="784"/>
      <c r="AN433" s="784"/>
      <c r="AO433" s="784"/>
      <c r="AP433" s="784"/>
      <c r="AQ433" s="784"/>
      <c r="AR433" s="784"/>
      <c r="AS433" s="784"/>
      <c r="AT433" s="784"/>
      <c r="AU433" s="784"/>
      <c r="AV433" s="784"/>
      <c r="AW433" s="784"/>
      <c r="AX433" s="784"/>
      <c r="AY433" s="784"/>
      <c r="AZ433" s="784"/>
      <c r="BA433" s="784"/>
      <c r="BB433" s="784"/>
      <c r="BC433" s="784"/>
      <c r="BD433" s="784"/>
      <c r="BE433" s="784"/>
      <c r="BF433" s="784"/>
      <c r="BG433" s="784"/>
      <c r="BH433" s="784"/>
      <c r="BI433" s="784"/>
      <c r="BJ433" s="784"/>
      <c r="BK433" s="784"/>
      <c r="BL433" s="784"/>
      <c r="BM433" s="784"/>
      <c r="BN433" s="784"/>
      <c r="BO433" s="784"/>
      <c r="BP433" s="784"/>
      <c r="BQ433" s="784"/>
      <c r="BR433" s="784"/>
      <c r="BS433" s="784"/>
      <c r="BT433" s="784"/>
      <c r="BU433" s="784"/>
      <c r="BV433" s="784"/>
      <c r="BW433" s="784"/>
      <c r="BX433" s="784"/>
      <c r="BY433" s="784"/>
      <c r="BZ433" s="784"/>
    </row>
    <row r="434" spans="1:78" ht="14.25">
      <c r="A434" s="784"/>
      <c r="B434" s="784"/>
      <c r="C434" s="784"/>
      <c r="D434" s="784"/>
      <c r="E434" s="784"/>
      <c r="F434" s="784"/>
      <c r="G434" s="784"/>
      <c r="H434" s="784"/>
      <c r="I434" s="784"/>
      <c r="J434" s="784"/>
      <c r="K434" s="784"/>
      <c r="L434" s="784"/>
      <c r="M434" s="784"/>
      <c r="N434" s="784"/>
      <c r="O434" s="784"/>
      <c r="P434" s="784"/>
      <c r="Q434" s="784"/>
      <c r="R434" s="784"/>
      <c r="S434" s="784"/>
      <c r="T434" s="785"/>
      <c r="U434" s="784"/>
      <c r="V434" s="784"/>
      <c r="W434" s="784"/>
      <c r="X434" s="784"/>
      <c r="Y434" s="784"/>
      <c r="Z434" s="784"/>
      <c r="AA434" s="784"/>
      <c r="AB434" s="784"/>
      <c r="AC434" s="784"/>
      <c r="AD434" s="784"/>
      <c r="AE434" s="784"/>
      <c r="AF434" s="784"/>
      <c r="AG434" s="784"/>
      <c r="AH434" s="784"/>
      <c r="AI434" s="784"/>
      <c r="AJ434" s="784"/>
      <c r="AK434" s="784"/>
      <c r="AL434" s="784"/>
      <c r="AM434" s="784"/>
      <c r="AN434" s="784"/>
      <c r="AO434" s="784"/>
      <c r="AP434" s="784"/>
      <c r="AQ434" s="784"/>
      <c r="AR434" s="784"/>
      <c r="AS434" s="784"/>
      <c r="AT434" s="784"/>
      <c r="AU434" s="784"/>
      <c r="AV434" s="784"/>
      <c r="AW434" s="784"/>
      <c r="AX434" s="784"/>
      <c r="AY434" s="784"/>
      <c r="AZ434" s="784"/>
      <c r="BA434" s="784"/>
      <c r="BB434" s="784"/>
      <c r="BC434" s="784"/>
      <c r="BD434" s="784"/>
      <c r="BE434" s="784"/>
      <c r="BF434" s="784"/>
      <c r="BG434" s="784"/>
      <c r="BH434" s="784"/>
      <c r="BI434" s="784"/>
      <c r="BJ434" s="784"/>
      <c r="BK434" s="784"/>
      <c r="BL434" s="784"/>
      <c r="BM434" s="784"/>
      <c r="BN434" s="784"/>
      <c r="BO434" s="784"/>
      <c r="BP434" s="784"/>
      <c r="BQ434" s="784"/>
      <c r="BR434" s="784"/>
      <c r="BS434" s="784"/>
      <c r="BT434" s="784"/>
      <c r="BU434" s="784"/>
      <c r="BV434" s="784"/>
      <c r="BW434" s="784"/>
      <c r="BX434" s="784"/>
      <c r="BY434" s="784"/>
      <c r="BZ434" s="784"/>
    </row>
    <row r="435" spans="1:78" ht="14.25">
      <c r="A435" s="784"/>
      <c r="B435" s="784"/>
      <c r="C435" s="784"/>
      <c r="D435" s="784"/>
      <c r="E435" s="784"/>
      <c r="F435" s="784"/>
      <c r="G435" s="784"/>
      <c r="H435" s="784"/>
      <c r="I435" s="784"/>
      <c r="J435" s="784"/>
      <c r="K435" s="784"/>
      <c r="L435" s="784"/>
      <c r="M435" s="784"/>
      <c r="N435" s="784"/>
      <c r="O435" s="784"/>
      <c r="P435" s="784"/>
      <c r="Q435" s="784"/>
      <c r="R435" s="784"/>
      <c r="S435" s="784"/>
      <c r="T435" s="785"/>
      <c r="U435" s="784"/>
      <c r="V435" s="784"/>
      <c r="W435" s="784"/>
      <c r="X435" s="784"/>
      <c r="Y435" s="784"/>
      <c r="Z435" s="784"/>
      <c r="AA435" s="784"/>
      <c r="AB435" s="784"/>
      <c r="AC435" s="784"/>
      <c r="AD435" s="784"/>
      <c r="AE435" s="784"/>
      <c r="AF435" s="784"/>
      <c r="AG435" s="784"/>
      <c r="AH435" s="784"/>
      <c r="AI435" s="784"/>
      <c r="AJ435" s="784"/>
      <c r="AK435" s="784"/>
      <c r="AL435" s="784"/>
      <c r="AM435" s="784"/>
      <c r="AN435" s="784"/>
      <c r="AO435" s="784"/>
      <c r="AP435" s="784"/>
      <c r="AQ435" s="784"/>
      <c r="AR435" s="784"/>
      <c r="AS435" s="784"/>
      <c r="AT435" s="784"/>
      <c r="AU435" s="784"/>
      <c r="AV435" s="784"/>
      <c r="AW435" s="784"/>
      <c r="AX435" s="784"/>
      <c r="AY435" s="784"/>
      <c r="AZ435" s="784"/>
      <c r="BA435" s="784"/>
      <c r="BB435" s="784"/>
      <c r="BC435" s="784"/>
      <c r="BD435" s="784"/>
      <c r="BE435" s="784"/>
      <c r="BF435" s="784"/>
      <c r="BG435" s="784"/>
      <c r="BH435" s="784"/>
      <c r="BI435" s="784"/>
      <c r="BJ435" s="784"/>
      <c r="BK435" s="784"/>
      <c r="BL435" s="784"/>
      <c r="BM435" s="784"/>
      <c r="BN435" s="784"/>
      <c r="BO435" s="784"/>
      <c r="BP435" s="784"/>
      <c r="BQ435" s="784"/>
      <c r="BR435" s="784"/>
      <c r="BS435" s="784"/>
      <c r="BT435" s="784"/>
      <c r="BU435" s="784"/>
      <c r="BV435" s="784"/>
      <c r="BW435" s="784"/>
      <c r="BX435" s="784"/>
      <c r="BY435" s="784"/>
      <c r="BZ435" s="784"/>
    </row>
    <row r="436" spans="1:78" ht="14.25">
      <c r="A436" s="784"/>
      <c r="B436" s="784"/>
      <c r="C436" s="784"/>
      <c r="D436" s="784"/>
      <c r="E436" s="784"/>
      <c r="F436" s="784"/>
      <c r="G436" s="784"/>
      <c r="H436" s="784"/>
      <c r="I436" s="784"/>
      <c r="J436" s="784"/>
      <c r="K436" s="784"/>
      <c r="L436" s="784"/>
      <c r="M436" s="784"/>
      <c r="N436" s="784"/>
      <c r="O436" s="784"/>
      <c r="P436" s="784"/>
      <c r="Q436" s="784"/>
      <c r="R436" s="784"/>
      <c r="S436" s="784"/>
      <c r="T436" s="785"/>
      <c r="U436" s="784"/>
      <c r="V436" s="784"/>
      <c r="W436" s="784"/>
      <c r="X436" s="784"/>
      <c r="Y436" s="784"/>
      <c r="Z436" s="784"/>
      <c r="AA436" s="784"/>
      <c r="AB436" s="784"/>
      <c r="AC436" s="784"/>
      <c r="AD436" s="784"/>
      <c r="AE436" s="784"/>
      <c r="AF436" s="784"/>
      <c r="AG436" s="784"/>
      <c r="AH436" s="784"/>
      <c r="AI436" s="784"/>
      <c r="AJ436" s="784"/>
      <c r="AK436" s="784"/>
      <c r="AL436" s="784"/>
      <c r="AM436" s="784"/>
      <c r="AN436" s="784"/>
      <c r="AO436" s="784"/>
      <c r="AP436" s="784"/>
      <c r="AQ436" s="784"/>
      <c r="AR436" s="784"/>
      <c r="AS436" s="784"/>
      <c r="AT436" s="784"/>
      <c r="AU436" s="784"/>
      <c r="AV436" s="784"/>
      <c r="AW436" s="784"/>
      <c r="AX436" s="784"/>
      <c r="AY436" s="784"/>
      <c r="AZ436" s="784"/>
      <c r="BA436" s="784"/>
      <c r="BB436" s="784"/>
      <c r="BC436" s="784"/>
      <c r="BD436" s="784"/>
      <c r="BE436" s="784"/>
      <c r="BF436" s="784"/>
      <c r="BG436" s="784"/>
      <c r="BH436" s="784"/>
      <c r="BI436" s="784"/>
      <c r="BJ436" s="784"/>
      <c r="BK436" s="784"/>
      <c r="BL436" s="784"/>
      <c r="BM436" s="784"/>
      <c r="BN436" s="784"/>
      <c r="BO436" s="784"/>
      <c r="BP436" s="784"/>
      <c r="BQ436" s="784"/>
      <c r="BR436" s="784"/>
      <c r="BS436" s="784"/>
      <c r="BT436" s="784"/>
      <c r="BU436" s="784"/>
      <c r="BV436" s="784"/>
      <c r="BW436" s="784"/>
      <c r="BX436" s="784"/>
      <c r="BY436" s="784"/>
      <c r="BZ436" s="784"/>
    </row>
    <row r="437" spans="1:78" ht="14.25">
      <c r="A437" s="784"/>
      <c r="B437" s="784"/>
      <c r="C437" s="784"/>
      <c r="D437" s="784"/>
      <c r="E437" s="784"/>
      <c r="F437" s="784"/>
      <c r="G437" s="784"/>
      <c r="H437" s="784"/>
      <c r="I437" s="784"/>
      <c r="J437" s="784"/>
      <c r="K437" s="784"/>
      <c r="L437" s="784"/>
      <c r="M437" s="784"/>
      <c r="N437" s="784"/>
      <c r="O437" s="784"/>
      <c r="P437" s="784"/>
      <c r="Q437" s="784"/>
      <c r="R437" s="784"/>
      <c r="S437" s="784"/>
      <c r="T437" s="785"/>
      <c r="U437" s="784"/>
      <c r="V437" s="784"/>
      <c r="W437" s="784"/>
      <c r="X437" s="784"/>
      <c r="Y437" s="784"/>
      <c r="Z437" s="784"/>
      <c r="AA437" s="784"/>
      <c r="AB437" s="784"/>
      <c r="AC437" s="784"/>
      <c r="AD437" s="784"/>
      <c r="AE437" s="784"/>
      <c r="AF437" s="784"/>
      <c r="AG437" s="784"/>
      <c r="AH437" s="784"/>
      <c r="AI437" s="784"/>
      <c r="AJ437" s="784"/>
      <c r="AK437" s="784"/>
      <c r="AL437" s="784"/>
      <c r="AM437" s="784"/>
      <c r="AN437" s="784"/>
      <c r="AO437" s="784"/>
      <c r="AP437" s="784"/>
      <c r="AQ437" s="784"/>
      <c r="AR437" s="784"/>
      <c r="AS437" s="784"/>
      <c r="AT437" s="784"/>
      <c r="AU437" s="784"/>
      <c r="AV437" s="784"/>
      <c r="AW437" s="784"/>
      <c r="AX437" s="784"/>
      <c r="AY437" s="784"/>
      <c r="AZ437" s="784"/>
      <c r="BA437" s="784"/>
      <c r="BB437" s="784"/>
      <c r="BC437" s="784"/>
      <c r="BD437" s="784"/>
      <c r="BE437" s="784"/>
      <c r="BF437" s="784"/>
      <c r="BG437" s="784"/>
      <c r="BH437" s="784"/>
      <c r="BI437" s="784"/>
      <c r="BJ437" s="784"/>
      <c r="BK437" s="784"/>
      <c r="BL437" s="784"/>
      <c r="BM437" s="784"/>
      <c r="BN437" s="784"/>
      <c r="BO437" s="784"/>
      <c r="BP437" s="784"/>
      <c r="BQ437" s="784"/>
      <c r="BR437" s="784"/>
      <c r="BS437" s="784"/>
      <c r="BT437" s="784"/>
      <c r="BU437" s="784"/>
      <c r="BV437" s="784"/>
      <c r="BW437" s="784"/>
      <c r="BX437" s="784"/>
      <c r="BY437" s="784"/>
      <c r="BZ437" s="784"/>
    </row>
    <row r="438" spans="1:78" ht="14.25">
      <c r="A438" s="784"/>
      <c r="B438" s="784"/>
      <c r="C438" s="784"/>
      <c r="D438" s="784"/>
      <c r="E438" s="784"/>
      <c r="F438" s="784"/>
      <c r="G438" s="784"/>
      <c r="H438" s="784"/>
      <c r="I438" s="784"/>
      <c r="J438" s="784"/>
      <c r="K438" s="784"/>
      <c r="L438" s="784"/>
      <c r="M438" s="784"/>
      <c r="N438" s="784"/>
      <c r="O438" s="784"/>
      <c r="P438" s="784"/>
      <c r="Q438" s="784"/>
      <c r="R438" s="784"/>
      <c r="S438" s="784"/>
      <c r="T438" s="785"/>
      <c r="U438" s="784"/>
      <c r="V438" s="784"/>
      <c r="W438" s="784"/>
      <c r="X438" s="784"/>
      <c r="Y438" s="784"/>
      <c r="Z438" s="784"/>
      <c r="AA438" s="784"/>
      <c r="AB438" s="784"/>
      <c r="AC438" s="784"/>
      <c r="AD438" s="784"/>
      <c r="AE438" s="784"/>
      <c r="AF438" s="784"/>
      <c r="AG438" s="784"/>
      <c r="AH438" s="784"/>
      <c r="AI438" s="784"/>
      <c r="AJ438" s="784"/>
      <c r="AK438" s="784"/>
      <c r="AL438" s="784"/>
      <c r="AM438" s="784"/>
      <c r="AN438" s="784"/>
      <c r="AO438" s="784"/>
      <c r="AP438" s="784"/>
      <c r="AQ438" s="784"/>
      <c r="AR438" s="784"/>
      <c r="AS438" s="784"/>
      <c r="AT438" s="784"/>
      <c r="AU438" s="784"/>
      <c r="AV438" s="784"/>
      <c r="AW438" s="784"/>
      <c r="AX438" s="784"/>
      <c r="AY438" s="784"/>
      <c r="AZ438" s="784"/>
      <c r="BA438" s="784"/>
      <c r="BB438" s="784"/>
      <c r="BC438" s="784"/>
      <c r="BD438" s="784"/>
      <c r="BE438" s="784"/>
      <c r="BF438" s="784"/>
      <c r="BG438" s="784"/>
      <c r="BH438" s="784"/>
      <c r="BI438" s="784"/>
      <c r="BJ438" s="784"/>
      <c r="BK438" s="784"/>
      <c r="BL438" s="784"/>
      <c r="BM438" s="784"/>
      <c r="BN438" s="784"/>
      <c r="BO438" s="784"/>
      <c r="BP438" s="784"/>
      <c r="BQ438" s="784"/>
      <c r="BR438" s="784"/>
      <c r="BS438" s="784"/>
      <c r="BT438" s="784"/>
      <c r="BU438" s="784"/>
      <c r="BV438" s="784"/>
      <c r="BW438" s="784"/>
      <c r="BX438" s="784"/>
      <c r="BY438" s="784"/>
      <c r="BZ438" s="784"/>
    </row>
    <row r="439" spans="1:78" ht="14.25">
      <c r="A439" s="784"/>
      <c r="B439" s="784"/>
      <c r="C439" s="784"/>
      <c r="D439" s="784"/>
      <c r="E439" s="784"/>
      <c r="F439" s="784"/>
      <c r="G439" s="784"/>
      <c r="H439" s="784"/>
      <c r="I439" s="784"/>
      <c r="J439" s="784"/>
      <c r="K439" s="784"/>
      <c r="L439" s="784"/>
      <c r="M439" s="784"/>
      <c r="N439" s="784"/>
      <c r="O439" s="784"/>
      <c r="P439" s="784"/>
      <c r="Q439" s="784"/>
      <c r="R439" s="784"/>
      <c r="S439" s="784"/>
      <c r="T439" s="785"/>
      <c r="U439" s="784"/>
      <c r="V439" s="784"/>
      <c r="W439" s="784"/>
      <c r="X439" s="784"/>
      <c r="Y439" s="784"/>
      <c r="Z439" s="784"/>
      <c r="AA439" s="784"/>
      <c r="AB439" s="784"/>
      <c r="AC439" s="784"/>
      <c r="AD439" s="784"/>
      <c r="AE439" s="784"/>
      <c r="AF439" s="784"/>
      <c r="AG439" s="784"/>
      <c r="AH439" s="784"/>
      <c r="AI439" s="784"/>
      <c r="AJ439" s="784"/>
      <c r="AK439" s="784"/>
      <c r="AL439" s="784"/>
      <c r="AM439" s="784"/>
      <c r="AN439" s="784"/>
      <c r="AO439" s="784"/>
      <c r="AP439" s="784"/>
      <c r="AQ439" s="784"/>
      <c r="AR439" s="784"/>
      <c r="AS439" s="784"/>
      <c r="AT439" s="784"/>
      <c r="AU439" s="784"/>
      <c r="AV439" s="784"/>
      <c r="AW439" s="784"/>
      <c r="AX439" s="784"/>
      <c r="AY439" s="784"/>
      <c r="AZ439" s="784"/>
      <c r="BA439" s="784"/>
      <c r="BB439" s="784"/>
      <c r="BC439" s="784"/>
      <c r="BD439" s="784"/>
      <c r="BE439" s="784"/>
      <c r="BF439" s="784"/>
      <c r="BG439" s="784"/>
      <c r="BH439" s="784"/>
      <c r="BI439" s="784"/>
      <c r="BJ439" s="784"/>
      <c r="BK439" s="784"/>
      <c r="BL439" s="784"/>
      <c r="BM439" s="784"/>
      <c r="BN439" s="784"/>
      <c r="BO439" s="784"/>
      <c r="BP439" s="784"/>
      <c r="BQ439" s="784"/>
      <c r="BR439" s="784"/>
      <c r="BS439" s="784"/>
      <c r="BT439" s="784"/>
      <c r="BU439" s="784"/>
      <c r="BV439" s="784"/>
      <c r="BW439" s="784"/>
      <c r="BX439" s="784"/>
      <c r="BY439" s="784"/>
      <c r="BZ439" s="784"/>
    </row>
    <row r="440" spans="1:78" ht="14.25">
      <c r="A440" s="784"/>
      <c r="B440" s="784"/>
      <c r="C440" s="784"/>
      <c r="D440" s="784"/>
      <c r="E440" s="784"/>
      <c r="F440" s="784"/>
      <c r="G440" s="784"/>
      <c r="H440" s="784"/>
      <c r="I440" s="784"/>
      <c r="J440" s="784"/>
      <c r="K440" s="784"/>
      <c r="L440" s="784"/>
      <c r="M440" s="784"/>
      <c r="N440" s="784"/>
      <c r="O440" s="784"/>
      <c r="P440" s="784"/>
      <c r="Q440" s="784"/>
      <c r="R440" s="784"/>
      <c r="S440" s="784"/>
      <c r="T440" s="785"/>
      <c r="U440" s="784"/>
      <c r="V440" s="784"/>
      <c r="W440" s="784"/>
      <c r="X440" s="784"/>
      <c r="Y440" s="784"/>
      <c r="Z440" s="784"/>
      <c r="AA440" s="784"/>
      <c r="AB440" s="784"/>
      <c r="AC440" s="784"/>
      <c r="AD440" s="784"/>
      <c r="AE440" s="784"/>
      <c r="AF440" s="784"/>
      <c r="AG440" s="784"/>
      <c r="AH440" s="784"/>
      <c r="AI440" s="784"/>
      <c r="AJ440" s="784"/>
      <c r="AK440" s="784"/>
      <c r="AL440" s="784"/>
      <c r="AM440" s="784"/>
      <c r="AN440" s="784"/>
      <c r="AO440" s="784"/>
      <c r="AP440" s="784"/>
      <c r="AQ440" s="784"/>
      <c r="AR440" s="784"/>
      <c r="AS440" s="784"/>
      <c r="AT440" s="784"/>
      <c r="AU440" s="784"/>
      <c r="AV440" s="784"/>
      <c r="AW440" s="784"/>
      <c r="AX440" s="784"/>
      <c r="AY440" s="784"/>
      <c r="AZ440" s="784"/>
      <c r="BA440" s="784"/>
      <c r="BB440" s="784"/>
      <c r="BC440" s="784"/>
      <c r="BD440" s="784"/>
      <c r="BE440" s="784"/>
      <c r="BF440" s="784"/>
      <c r="BG440" s="784"/>
      <c r="BH440" s="784"/>
      <c r="BI440" s="784"/>
      <c r="BJ440" s="784"/>
      <c r="BK440" s="784"/>
      <c r="BL440" s="784"/>
      <c r="BM440" s="784"/>
      <c r="BN440" s="784"/>
      <c r="BO440" s="784"/>
      <c r="BP440" s="784"/>
      <c r="BQ440" s="784"/>
      <c r="BR440" s="784"/>
      <c r="BS440" s="784"/>
      <c r="BT440" s="784"/>
      <c r="BU440" s="784"/>
      <c r="BV440" s="784"/>
      <c r="BW440" s="784"/>
      <c r="BX440" s="784"/>
      <c r="BY440" s="784"/>
      <c r="BZ440" s="784"/>
    </row>
    <row r="441" spans="1:78" ht="14.25">
      <c r="A441" s="784"/>
      <c r="B441" s="784"/>
      <c r="C441" s="784"/>
      <c r="D441" s="784"/>
      <c r="E441" s="784"/>
      <c r="F441" s="784"/>
      <c r="G441" s="784"/>
      <c r="H441" s="784"/>
      <c r="I441" s="784"/>
      <c r="J441" s="784"/>
      <c r="K441" s="784"/>
      <c r="L441" s="784"/>
      <c r="M441" s="784"/>
      <c r="N441" s="784"/>
      <c r="O441" s="784"/>
      <c r="P441" s="784"/>
      <c r="Q441" s="784"/>
      <c r="R441" s="784"/>
      <c r="S441" s="784"/>
      <c r="T441" s="785"/>
      <c r="U441" s="784"/>
      <c r="V441" s="784"/>
      <c r="W441" s="784"/>
      <c r="X441" s="784"/>
      <c r="Y441" s="784"/>
      <c r="Z441" s="784"/>
      <c r="AA441" s="784"/>
      <c r="AB441" s="784"/>
      <c r="AC441" s="784"/>
      <c r="AD441" s="784"/>
      <c r="AE441" s="784"/>
      <c r="AF441" s="784"/>
      <c r="AG441" s="784"/>
      <c r="AH441" s="784"/>
      <c r="AI441" s="784"/>
      <c r="AJ441" s="784"/>
      <c r="AK441" s="784"/>
      <c r="AL441" s="784"/>
      <c r="AM441" s="784"/>
      <c r="AN441" s="784"/>
      <c r="AO441" s="784"/>
      <c r="AP441" s="784"/>
      <c r="AQ441" s="784"/>
      <c r="AR441" s="784"/>
      <c r="AS441" s="784"/>
      <c r="AT441" s="784"/>
      <c r="AU441" s="784"/>
      <c r="AV441" s="784"/>
      <c r="AW441" s="784"/>
      <c r="AX441" s="784"/>
      <c r="AY441" s="784"/>
      <c r="AZ441" s="784"/>
      <c r="BA441" s="784"/>
      <c r="BB441" s="784"/>
      <c r="BC441" s="784"/>
      <c r="BD441" s="784"/>
      <c r="BE441" s="784"/>
      <c r="BF441" s="784"/>
      <c r="BG441" s="784"/>
      <c r="BH441" s="784"/>
      <c r="BI441" s="784"/>
      <c r="BJ441" s="784"/>
      <c r="BK441" s="784"/>
      <c r="BL441" s="784"/>
      <c r="BM441" s="784"/>
      <c r="BN441" s="784"/>
      <c r="BO441" s="784"/>
      <c r="BP441" s="784"/>
      <c r="BQ441" s="784"/>
      <c r="BR441" s="784"/>
      <c r="BS441" s="784"/>
      <c r="BT441" s="784"/>
      <c r="BU441" s="784"/>
      <c r="BV441" s="784"/>
      <c r="BW441" s="784"/>
      <c r="BX441" s="784"/>
      <c r="BY441" s="784"/>
      <c r="BZ441" s="784"/>
    </row>
    <row r="442" spans="1:78" ht="14.25">
      <c r="A442" s="784"/>
      <c r="B442" s="784"/>
      <c r="C442" s="784"/>
      <c r="D442" s="784"/>
      <c r="E442" s="784"/>
      <c r="F442" s="784"/>
      <c r="G442" s="784"/>
      <c r="H442" s="784"/>
      <c r="I442" s="784"/>
      <c r="J442" s="784"/>
      <c r="K442" s="784"/>
      <c r="L442" s="784"/>
      <c r="M442" s="784"/>
      <c r="N442" s="784"/>
      <c r="O442" s="784"/>
      <c r="P442" s="784"/>
      <c r="Q442" s="784"/>
      <c r="R442" s="784"/>
      <c r="S442" s="784"/>
      <c r="T442" s="785"/>
      <c r="U442" s="784"/>
      <c r="V442" s="784"/>
      <c r="W442" s="784"/>
      <c r="X442" s="784"/>
      <c r="Y442" s="784"/>
      <c r="Z442" s="784"/>
      <c r="AA442" s="784"/>
      <c r="AB442" s="784"/>
      <c r="AC442" s="784"/>
      <c r="AD442" s="784"/>
      <c r="AE442" s="784"/>
      <c r="AF442" s="784"/>
      <c r="AG442" s="784"/>
      <c r="AH442" s="784"/>
      <c r="AI442" s="784"/>
      <c r="AJ442" s="784"/>
      <c r="AK442" s="784"/>
      <c r="AL442" s="784"/>
      <c r="AM442" s="784"/>
      <c r="AN442" s="784"/>
      <c r="AO442" s="784"/>
      <c r="AP442" s="784"/>
      <c r="AQ442" s="784"/>
      <c r="AR442" s="784"/>
      <c r="AS442" s="784"/>
      <c r="AT442" s="784"/>
      <c r="AU442" s="784"/>
      <c r="AV442" s="784"/>
      <c r="AW442" s="784"/>
      <c r="AX442" s="784"/>
      <c r="AY442" s="784"/>
      <c r="AZ442" s="784"/>
      <c r="BA442" s="784"/>
      <c r="BB442" s="784"/>
      <c r="BC442" s="784"/>
      <c r="BD442" s="784"/>
      <c r="BE442" s="784"/>
      <c r="BF442" s="784"/>
      <c r="BG442" s="784"/>
      <c r="BH442" s="784"/>
      <c r="BI442" s="784"/>
      <c r="BJ442" s="784"/>
      <c r="BK442" s="784"/>
      <c r="BL442" s="784"/>
      <c r="BM442" s="784"/>
      <c r="BN442" s="784"/>
      <c r="BO442" s="784"/>
      <c r="BP442" s="784"/>
      <c r="BQ442" s="784"/>
      <c r="BR442" s="784"/>
      <c r="BS442" s="784"/>
      <c r="BT442" s="784"/>
      <c r="BU442" s="784"/>
      <c r="BV442" s="784"/>
      <c r="BW442" s="784"/>
      <c r="BX442" s="784"/>
      <c r="BY442" s="784"/>
      <c r="BZ442" s="784"/>
    </row>
    <row r="443" spans="1:78" ht="14.25">
      <c r="A443" s="784"/>
      <c r="B443" s="784"/>
      <c r="C443" s="784"/>
      <c r="D443" s="784"/>
      <c r="E443" s="784"/>
      <c r="F443" s="784"/>
      <c r="G443" s="784"/>
      <c r="H443" s="784"/>
      <c r="I443" s="784"/>
      <c r="J443" s="784"/>
      <c r="K443" s="784"/>
      <c r="L443" s="784"/>
      <c r="M443" s="784"/>
      <c r="N443" s="784"/>
      <c r="O443" s="784"/>
      <c r="P443" s="784"/>
      <c r="Q443" s="784"/>
      <c r="R443" s="784"/>
      <c r="S443" s="784"/>
      <c r="T443" s="785"/>
      <c r="U443" s="784"/>
      <c r="V443" s="784"/>
      <c r="W443" s="784"/>
      <c r="X443" s="784"/>
      <c r="Y443" s="784"/>
      <c r="Z443" s="784"/>
      <c r="AA443" s="784"/>
      <c r="AB443" s="784"/>
      <c r="AC443" s="784"/>
      <c r="AD443" s="784"/>
      <c r="AE443" s="784"/>
      <c r="AF443" s="784"/>
      <c r="AG443" s="784"/>
      <c r="AH443" s="784"/>
      <c r="AI443" s="784"/>
      <c r="AJ443" s="784"/>
      <c r="AK443" s="784"/>
      <c r="AL443" s="784"/>
      <c r="AM443" s="784"/>
      <c r="AN443" s="784"/>
      <c r="AO443" s="784"/>
      <c r="AP443" s="784"/>
      <c r="AQ443" s="784"/>
      <c r="AR443" s="784"/>
      <c r="AS443" s="784"/>
      <c r="AT443" s="784"/>
      <c r="AU443" s="784"/>
      <c r="AV443" s="784"/>
      <c r="AW443" s="784"/>
      <c r="AX443" s="784"/>
      <c r="AY443" s="784"/>
      <c r="AZ443" s="784"/>
      <c r="BA443" s="784"/>
      <c r="BB443" s="784"/>
      <c r="BC443" s="784"/>
      <c r="BD443" s="784"/>
      <c r="BE443" s="784"/>
      <c r="BF443" s="784"/>
      <c r="BG443" s="784"/>
      <c r="BH443" s="784"/>
      <c r="BI443" s="784"/>
      <c r="BJ443" s="784"/>
      <c r="BK443" s="784"/>
      <c r="BL443" s="784"/>
      <c r="BM443" s="784"/>
      <c r="BN443" s="784"/>
      <c r="BO443" s="784"/>
      <c r="BP443" s="784"/>
      <c r="BQ443" s="784"/>
      <c r="BR443" s="784"/>
      <c r="BS443" s="784"/>
      <c r="BT443" s="784"/>
      <c r="BU443" s="784"/>
      <c r="BV443" s="784"/>
      <c r="BW443" s="784"/>
      <c r="BX443" s="784"/>
      <c r="BY443" s="784"/>
      <c r="BZ443" s="784"/>
    </row>
    <row r="444" spans="1:78" ht="14.25">
      <c r="A444" s="784"/>
      <c r="B444" s="784"/>
      <c r="C444" s="784"/>
      <c r="D444" s="784"/>
      <c r="E444" s="784"/>
      <c r="F444" s="784"/>
      <c r="G444" s="784"/>
      <c r="H444" s="784"/>
      <c r="I444" s="784"/>
      <c r="J444" s="784"/>
      <c r="K444" s="784"/>
      <c r="L444" s="784"/>
      <c r="M444" s="784"/>
      <c r="N444" s="784"/>
      <c r="O444" s="784"/>
      <c r="P444" s="784"/>
      <c r="Q444" s="784"/>
      <c r="R444" s="784"/>
      <c r="S444" s="784"/>
      <c r="T444" s="785"/>
      <c r="U444" s="784"/>
      <c r="V444" s="784"/>
      <c r="W444" s="784"/>
      <c r="X444" s="784"/>
      <c r="Y444" s="784"/>
      <c r="Z444" s="784"/>
      <c r="AA444" s="784"/>
      <c r="AB444" s="784"/>
      <c r="AC444" s="784"/>
      <c r="AD444" s="784"/>
      <c r="AE444" s="784"/>
      <c r="AF444" s="784"/>
      <c r="AG444" s="784"/>
      <c r="AH444" s="784"/>
      <c r="AI444" s="784"/>
      <c r="AJ444" s="784"/>
      <c r="AK444" s="784"/>
      <c r="AL444" s="784"/>
      <c r="AM444" s="784"/>
      <c r="AN444" s="784"/>
      <c r="AO444" s="784"/>
      <c r="AP444" s="784"/>
      <c r="AQ444" s="784"/>
      <c r="AR444" s="784"/>
      <c r="AS444" s="784"/>
      <c r="AT444" s="784"/>
      <c r="AU444" s="784"/>
      <c r="AV444" s="784"/>
      <c r="AW444" s="784"/>
      <c r="AX444" s="784"/>
      <c r="AY444" s="784"/>
      <c r="AZ444" s="784"/>
      <c r="BA444" s="784"/>
      <c r="BB444" s="784"/>
      <c r="BC444" s="784"/>
      <c r="BD444" s="784"/>
      <c r="BE444" s="784"/>
      <c r="BF444" s="784"/>
      <c r="BG444" s="784"/>
      <c r="BH444" s="784"/>
      <c r="BI444" s="784"/>
      <c r="BJ444" s="784"/>
      <c r="BK444" s="784"/>
      <c r="BL444" s="784"/>
      <c r="BM444" s="784"/>
      <c r="BN444" s="784"/>
      <c r="BO444" s="784"/>
      <c r="BP444" s="784"/>
      <c r="BQ444" s="784"/>
      <c r="BR444" s="784"/>
      <c r="BS444" s="784"/>
      <c r="BT444" s="784"/>
      <c r="BU444" s="784"/>
      <c r="BV444" s="784"/>
      <c r="BW444" s="784"/>
      <c r="BX444" s="784"/>
      <c r="BY444" s="784"/>
      <c r="BZ444" s="784"/>
    </row>
    <row r="445" spans="1:78" ht="14.25">
      <c r="A445" s="784"/>
      <c r="B445" s="784"/>
      <c r="C445" s="784"/>
      <c r="D445" s="784"/>
      <c r="E445" s="784"/>
      <c r="F445" s="784"/>
      <c r="G445" s="784"/>
      <c r="H445" s="784"/>
      <c r="I445" s="784"/>
      <c r="J445" s="784"/>
      <c r="K445" s="784"/>
      <c r="L445" s="784"/>
      <c r="M445" s="784"/>
      <c r="N445" s="784"/>
      <c r="O445" s="784"/>
      <c r="P445" s="784"/>
      <c r="Q445" s="784"/>
      <c r="R445" s="784"/>
      <c r="S445" s="784"/>
      <c r="T445" s="785"/>
      <c r="U445" s="784"/>
      <c r="V445" s="784"/>
      <c r="W445" s="784"/>
      <c r="X445" s="784"/>
      <c r="Y445" s="784"/>
      <c r="Z445" s="784"/>
      <c r="AA445" s="784"/>
      <c r="AB445" s="784"/>
      <c r="AC445" s="784"/>
      <c r="AD445" s="784"/>
      <c r="AE445" s="784"/>
      <c r="AF445" s="784"/>
      <c r="AG445" s="784"/>
      <c r="AH445" s="784"/>
      <c r="AI445" s="784"/>
      <c r="AJ445" s="784"/>
      <c r="AK445" s="784"/>
      <c r="AL445" s="784"/>
      <c r="AM445" s="784"/>
      <c r="AN445" s="784"/>
      <c r="AO445" s="784"/>
      <c r="AP445" s="784"/>
      <c r="AQ445" s="784"/>
      <c r="AR445" s="784"/>
      <c r="AS445" s="784"/>
      <c r="AT445" s="784"/>
      <c r="AU445" s="784"/>
      <c r="AV445" s="784"/>
      <c r="AW445" s="784"/>
      <c r="AX445" s="784"/>
      <c r="AY445" s="784"/>
      <c r="AZ445" s="784"/>
      <c r="BA445" s="784"/>
      <c r="BB445" s="784"/>
      <c r="BC445" s="784"/>
      <c r="BD445" s="784"/>
      <c r="BE445" s="784"/>
      <c r="BF445" s="784"/>
      <c r="BG445" s="784"/>
      <c r="BH445" s="784"/>
      <c r="BI445" s="784"/>
      <c r="BJ445" s="784"/>
      <c r="BK445" s="784"/>
      <c r="BL445" s="784"/>
      <c r="BM445" s="784"/>
      <c r="BN445" s="784"/>
      <c r="BO445" s="784"/>
      <c r="BP445" s="784"/>
      <c r="BQ445" s="784"/>
      <c r="BR445" s="784"/>
      <c r="BS445" s="784"/>
      <c r="BT445" s="784"/>
      <c r="BU445" s="784"/>
      <c r="BV445" s="784"/>
      <c r="BW445" s="784"/>
      <c r="BX445" s="784"/>
      <c r="BY445" s="784"/>
      <c r="BZ445" s="784"/>
    </row>
    <row r="446" spans="1:78" ht="14.25">
      <c r="A446" s="784"/>
      <c r="B446" s="784"/>
      <c r="C446" s="784"/>
      <c r="D446" s="784"/>
      <c r="E446" s="784"/>
      <c r="F446" s="784"/>
      <c r="G446" s="784"/>
      <c r="H446" s="784"/>
      <c r="I446" s="784"/>
      <c r="J446" s="784"/>
      <c r="K446" s="784"/>
      <c r="L446" s="784"/>
      <c r="M446" s="784"/>
      <c r="N446" s="784"/>
      <c r="O446" s="784"/>
      <c r="P446" s="784"/>
      <c r="Q446" s="784"/>
      <c r="R446" s="784"/>
      <c r="S446" s="784"/>
      <c r="T446" s="785"/>
      <c r="U446" s="784"/>
      <c r="V446" s="784"/>
      <c r="W446" s="784"/>
      <c r="X446" s="784"/>
      <c r="Y446" s="784"/>
      <c r="Z446" s="784"/>
      <c r="AA446" s="784"/>
      <c r="AB446" s="784"/>
      <c r="AC446" s="784"/>
      <c r="AD446" s="784"/>
      <c r="AE446" s="784"/>
      <c r="AF446" s="784"/>
      <c r="AG446" s="784"/>
      <c r="AH446" s="784"/>
      <c r="AI446" s="784"/>
      <c r="AJ446" s="784"/>
      <c r="AK446" s="784"/>
      <c r="AL446" s="784"/>
      <c r="AM446" s="784"/>
      <c r="AN446" s="784"/>
      <c r="AO446" s="784"/>
      <c r="AP446" s="784"/>
      <c r="AQ446" s="784"/>
      <c r="AR446" s="784"/>
      <c r="AS446" s="784"/>
      <c r="AT446" s="784"/>
      <c r="AU446" s="784"/>
      <c r="AV446" s="784"/>
      <c r="AW446" s="784"/>
      <c r="AX446" s="784"/>
      <c r="AY446" s="784"/>
      <c r="AZ446" s="784"/>
      <c r="BA446" s="784"/>
      <c r="BB446" s="784"/>
      <c r="BC446" s="784"/>
      <c r="BD446" s="784"/>
      <c r="BE446" s="784"/>
      <c r="BF446" s="784"/>
      <c r="BG446" s="784"/>
      <c r="BH446" s="784"/>
      <c r="BI446" s="784"/>
      <c r="BJ446" s="784"/>
      <c r="BK446" s="784"/>
      <c r="BL446" s="784"/>
      <c r="BM446" s="784"/>
      <c r="BN446" s="784"/>
      <c r="BO446" s="784"/>
      <c r="BP446" s="784"/>
      <c r="BQ446" s="784"/>
      <c r="BR446" s="784"/>
      <c r="BS446" s="784"/>
      <c r="BT446" s="784"/>
      <c r="BU446" s="784"/>
      <c r="BV446" s="784"/>
      <c r="BW446" s="784"/>
      <c r="BX446" s="784"/>
      <c r="BY446" s="784"/>
      <c r="BZ446" s="784"/>
    </row>
    <row r="447" spans="1:78" ht="14.25">
      <c r="A447" s="784"/>
      <c r="B447" s="784"/>
      <c r="C447" s="784"/>
      <c r="D447" s="784"/>
      <c r="E447" s="784"/>
      <c r="F447" s="784"/>
      <c r="G447" s="784"/>
      <c r="H447" s="784"/>
      <c r="I447" s="784"/>
      <c r="J447" s="784"/>
      <c r="K447" s="784"/>
      <c r="L447" s="784"/>
      <c r="M447" s="784"/>
      <c r="N447" s="784"/>
      <c r="O447" s="784"/>
      <c r="P447" s="784"/>
      <c r="Q447" s="784"/>
      <c r="R447" s="784"/>
      <c r="S447" s="784"/>
      <c r="T447" s="785"/>
      <c r="U447" s="784"/>
      <c r="V447" s="784"/>
      <c r="W447" s="784"/>
      <c r="X447" s="784"/>
      <c r="Y447" s="784"/>
      <c r="Z447" s="784"/>
      <c r="AA447" s="784"/>
      <c r="AB447" s="784"/>
      <c r="AC447" s="784"/>
      <c r="AD447" s="784"/>
      <c r="AE447" s="784"/>
      <c r="AF447" s="784"/>
      <c r="AG447" s="784"/>
      <c r="AH447" s="784"/>
      <c r="AI447" s="784"/>
      <c r="AJ447" s="784"/>
      <c r="AK447" s="784"/>
      <c r="AL447" s="784"/>
      <c r="AM447" s="784"/>
      <c r="AN447" s="784"/>
      <c r="AO447" s="784"/>
      <c r="AP447" s="784"/>
      <c r="AQ447" s="784"/>
      <c r="AR447" s="784"/>
      <c r="AS447" s="784"/>
      <c r="AT447" s="784"/>
      <c r="AU447" s="784"/>
      <c r="AV447" s="784"/>
      <c r="AW447" s="784"/>
      <c r="AX447" s="784"/>
      <c r="AY447" s="784"/>
      <c r="AZ447" s="784"/>
      <c r="BA447" s="784"/>
      <c r="BB447" s="784"/>
      <c r="BC447" s="784"/>
      <c r="BD447" s="784"/>
      <c r="BE447" s="784"/>
      <c r="BF447" s="784"/>
      <c r="BG447" s="784"/>
      <c r="BH447" s="784"/>
      <c r="BI447" s="784"/>
      <c r="BJ447" s="784"/>
      <c r="BK447" s="784"/>
      <c r="BL447" s="784"/>
      <c r="BM447" s="784"/>
      <c r="BN447" s="784"/>
      <c r="BO447" s="784"/>
      <c r="BP447" s="784"/>
      <c r="BQ447" s="784"/>
      <c r="BR447" s="784"/>
      <c r="BS447" s="784"/>
      <c r="BT447" s="784"/>
      <c r="BU447" s="784"/>
      <c r="BV447" s="784"/>
      <c r="BW447" s="784"/>
      <c r="BX447" s="784"/>
      <c r="BY447" s="784"/>
      <c r="BZ447" s="784"/>
    </row>
    <row r="448" spans="1:78" ht="14.25">
      <c r="A448" s="784"/>
      <c r="B448" s="784"/>
      <c r="C448" s="784"/>
      <c r="D448" s="784"/>
      <c r="E448" s="784"/>
      <c r="F448" s="784"/>
      <c r="G448" s="784"/>
      <c r="H448" s="784"/>
      <c r="I448" s="784"/>
      <c r="J448" s="784"/>
      <c r="K448" s="784"/>
      <c r="L448" s="784"/>
      <c r="M448" s="784"/>
      <c r="N448" s="784"/>
      <c r="O448" s="784"/>
      <c r="P448" s="784"/>
      <c r="Q448" s="784"/>
      <c r="R448" s="784"/>
      <c r="S448" s="784"/>
      <c r="T448" s="785"/>
      <c r="U448" s="784"/>
      <c r="V448" s="784"/>
      <c r="W448" s="784"/>
      <c r="X448" s="784"/>
      <c r="Y448" s="784"/>
      <c r="Z448" s="784"/>
      <c r="AA448" s="784"/>
      <c r="AB448" s="784"/>
      <c r="AC448" s="784"/>
      <c r="AD448" s="784"/>
      <c r="AE448" s="784"/>
      <c r="AF448" s="784"/>
      <c r="AG448" s="784"/>
      <c r="AH448" s="784"/>
      <c r="AI448" s="784"/>
      <c r="AJ448" s="784"/>
      <c r="AK448" s="784"/>
      <c r="AL448" s="784"/>
      <c r="AM448" s="784"/>
      <c r="AN448" s="784"/>
      <c r="AO448" s="784"/>
      <c r="AP448" s="784"/>
      <c r="AQ448" s="784"/>
      <c r="AR448" s="784"/>
      <c r="AS448" s="784"/>
      <c r="AT448" s="784"/>
      <c r="AU448" s="784"/>
      <c r="AV448" s="784"/>
      <c r="AW448" s="784"/>
      <c r="AX448" s="784"/>
      <c r="AY448" s="784"/>
      <c r="AZ448" s="784"/>
      <c r="BA448" s="784"/>
      <c r="BB448" s="784"/>
      <c r="BC448" s="784"/>
      <c r="BD448" s="784"/>
      <c r="BE448" s="784"/>
      <c r="BF448" s="784"/>
      <c r="BG448" s="784"/>
      <c r="BH448" s="784"/>
      <c r="BI448" s="784"/>
      <c r="BJ448" s="784"/>
      <c r="BK448" s="784"/>
      <c r="BL448" s="784"/>
      <c r="BM448" s="784"/>
      <c r="BN448" s="784"/>
      <c r="BO448" s="784"/>
      <c r="BP448" s="784"/>
      <c r="BQ448" s="784"/>
      <c r="BR448" s="784"/>
      <c r="BS448" s="784"/>
      <c r="BT448" s="784"/>
      <c r="BU448" s="784"/>
      <c r="BV448" s="784"/>
      <c r="BW448" s="784"/>
      <c r="BX448" s="784"/>
      <c r="BY448" s="784"/>
      <c r="BZ448" s="784"/>
    </row>
    <row r="449" spans="1:78" ht="14.25">
      <c r="A449" s="784"/>
      <c r="B449" s="784"/>
      <c r="C449" s="784"/>
      <c r="D449" s="784"/>
      <c r="E449" s="784"/>
      <c r="F449" s="784"/>
      <c r="G449" s="784"/>
      <c r="H449" s="784"/>
      <c r="I449" s="784"/>
      <c r="J449" s="784"/>
      <c r="K449" s="784"/>
      <c r="L449" s="784"/>
      <c r="M449" s="784"/>
      <c r="N449" s="784"/>
      <c r="O449" s="784"/>
      <c r="P449" s="784"/>
      <c r="Q449" s="784"/>
      <c r="R449" s="784"/>
      <c r="S449" s="784"/>
      <c r="T449" s="785"/>
      <c r="U449" s="784"/>
      <c r="V449" s="784"/>
      <c r="W449" s="784"/>
      <c r="X449" s="784"/>
      <c r="Y449" s="784"/>
      <c r="Z449" s="784"/>
      <c r="AA449" s="784"/>
      <c r="AB449" s="784"/>
      <c r="AC449" s="784"/>
      <c r="AD449" s="784"/>
      <c r="AE449" s="784"/>
      <c r="AF449" s="784"/>
      <c r="AG449" s="784"/>
      <c r="AH449" s="784"/>
      <c r="AI449" s="784"/>
      <c r="AJ449" s="784"/>
      <c r="AK449" s="784"/>
      <c r="AL449" s="784"/>
      <c r="AM449" s="784"/>
      <c r="AN449" s="784"/>
      <c r="AO449" s="784"/>
      <c r="AP449" s="784"/>
      <c r="AQ449" s="784"/>
      <c r="AR449" s="784"/>
      <c r="AS449" s="784"/>
      <c r="AT449" s="784"/>
      <c r="AU449" s="784"/>
      <c r="AV449" s="784"/>
      <c r="AW449" s="784"/>
      <c r="AX449" s="784"/>
      <c r="AY449" s="784"/>
      <c r="AZ449" s="784"/>
      <c r="BA449" s="784"/>
      <c r="BB449" s="784"/>
      <c r="BC449" s="784"/>
      <c r="BD449" s="784"/>
      <c r="BE449" s="784"/>
      <c r="BF449" s="784"/>
      <c r="BG449" s="784"/>
      <c r="BH449" s="784"/>
      <c r="BI449" s="784"/>
      <c r="BJ449" s="784"/>
      <c r="BK449" s="784"/>
      <c r="BL449" s="784"/>
      <c r="BM449" s="784"/>
      <c r="BN449" s="784"/>
      <c r="BO449" s="784"/>
      <c r="BP449" s="784"/>
      <c r="BQ449" s="784"/>
      <c r="BR449" s="784"/>
      <c r="BS449" s="784"/>
      <c r="BT449" s="784"/>
      <c r="BU449" s="784"/>
      <c r="BV449" s="784"/>
      <c r="BW449" s="784"/>
      <c r="BX449" s="784"/>
      <c r="BY449" s="784"/>
      <c r="BZ449" s="784"/>
    </row>
    <row r="450" spans="1:78" ht="14.25">
      <c r="A450" s="784"/>
      <c r="B450" s="784"/>
      <c r="C450" s="784"/>
      <c r="D450" s="784"/>
      <c r="E450" s="784"/>
      <c r="F450" s="784"/>
      <c r="G450" s="784"/>
      <c r="H450" s="784"/>
      <c r="I450" s="784"/>
      <c r="J450" s="784"/>
      <c r="K450" s="784"/>
      <c r="L450" s="784"/>
      <c r="M450" s="784"/>
      <c r="N450" s="784"/>
      <c r="O450" s="784"/>
      <c r="P450" s="784"/>
      <c r="Q450" s="784"/>
      <c r="R450" s="784"/>
      <c r="S450" s="784"/>
      <c r="T450" s="785"/>
      <c r="U450" s="784"/>
      <c r="V450" s="784"/>
      <c r="W450" s="784"/>
      <c r="X450" s="784"/>
      <c r="Y450" s="784"/>
      <c r="Z450" s="784"/>
      <c r="AA450" s="784"/>
      <c r="AB450" s="784"/>
      <c r="AC450" s="784"/>
      <c r="AD450" s="784"/>
      <c r="AE450" s="784"/>
      <c r="AF450" s="784"/>
      <c r="AG450" s="784"/>
      <c r="AH450" s="784"/>
      <c r="AI450" s="784"/>
      <c r="AJ450" s="784"/>
      <c r="AK450" s="784"/>
      <c r="AL450" s="784"/>
      <c r="AM450" s="784"/>
      <c r="AN450" s="784"/>
      <c r="AO450" s="784"/>
      <c r="AP450" s="784"/>
      <c r="AQ450" s="784"/>
      <c r="AR450" s="784"/>
      <c r="AS450" s="784"/>
      <c r="AT450" s="784"/>
      <c r="AU450" s="784"/>
      <c r="AV450" s="784"/>
      <c r="AW450" s="784"/>
      <c r="AX450" s="784"/>
      <c r="AY450" s="784"/>
      <c r="AZ450" s="784"/>
      <c r="BA450" s="784"/>
      <c r="BB450" s="784"/>
      <c r="BC450" s="784"/>
      <c r="BD450" s="784"/>
      <c r="BE450" s="784"/>
      <c r="BF450" s="784"/>
      <c r="BG450" s="784"/>
      <c r="BH450" s="784"/>
      <c r="BI450" s="784"/>
      <c r="BJ450" s="784"/>
      <c r="BK450" s="784"/>
      <c r="BL450" s="784"/>
      <c r="BM450" s="784"/>
      <c r="BN450" s="784"/>
      <c r="BO450" s="784"/>
      <c r="BP450" s="784"/>
      <c r="BQ450" s="784"/>
      <c r="BR450" s="784"/>
      <c r="BS450" s="784"/>
      <c r="BT450" s="784"/>
      <c r="BU450" s="784"/>
      <c r="BV450" s="784"/>
      <c r="BW450" s="784"/>
      <c r="BX450" s="784"/>
      <c r="BY450" s="784"/>
      <c r="BZ450" s="784"/>
    </row>
    <row r="451" spans="1:78" ht="14.25">
      <c r="A451" s="784"/>
      <c r="B451" s="784"/>
      <c r="C451" s="784"/>
      <c r="D451" s="784"/>
      <c r="E451" s="784"/>
      <c r="F451" s="784"/>
      <c r="G451" s="784"/>
      <c r="H451" s="784"/>
      <c r="I451" s="784"/>
      <c r="J451" s="784"/>
      <c r="K451" s="784"/>
      <c r="L451" s="784"/>
      <c r="M451" s="784"/>
      <c r="N451" s="784"/>
      <c r="O451" s="784"/>
      <c r="P451" s="784"/>
      <c r="Q451" s="784"/>
      <c r="R451" s="784"/>
      <c r="S451" s="784"/>
      <c r="T451" s="785"/>
      <c r="U451" s="784"/>
      <c r="V451" s="784"/>
      <c r="W451" s="784"/>
      <c r="X451" s="784"/>
      <c r="Y451" s="784"/>
      <c r="Z451" s="784"/>
      <c r="AA451" s="784"/>
      <c r="AB451" s="784"/>
      <c r="AC451" s="784"/>
      <c r="AD451" s="784"/>
      <c r="AE451" s="784"/>
      <c r="AF451" s="784"/>
      <c r="AG451" s="784"/>
      <c r="AH451" s="784"/>
      <c r="AI451" s="784"/>
      <c r="AJ451" s="784"/>
      <c r="AK451" s="784"/>
      <c r="AL451" s="784"/>
      <c r="AM451" s="784"/>
      <c r="AN451" s="784"/>
      <c r="AO451" s="784"/>
      <c r="AP451" s="784"/>
      <c r="AQ451" s="784"/>
      <c r="AR451" s="784"/>
      <c r="AS451" s="784"/>
      <c r="AT451" s="784"/>
      <c r="AU451" s="784"/>
      <c r="AV451" s="784"/>
      <c r="AW451" s="784"/>
      <c r="AX451" s="784"/>
      <c r="AY451" s="784"/>
      <c r="AZ451" s="784"/>
      <c r="BA451" s="784"/>
      <c r="BB451" s="784"/>
      <c r="BC451" s="784"/>
      <c r="BD451" s="784"/>
      <c r="BE451" s="784"/>
      <c r="BF451" s="784"/>
      <c r="BG451" s="784"/>
      <c r="BH451" s="784"/>
      <c r="BI451" s="784"/>
      <c r="BJ451" s="784"/>
      <c r="BK451" s="784"/>
      <c r="BL451" s="784"/>
      <c r="BM451" s="784"/>
      <c r="BN451" s="784"/>
      <c r="BO451" s="784"/>
      <c r="BP451" s="784"/>
      <c r="BQ451" s="784"/>
      <c r="BR451" s="784"/>
      <c r="BS451" s="784"/>
      <c r="BT451" s="784"/>
      <c r="BU451" s="784"/>
      <c r="BV451" s="784"/>
      <c r="BW451" s="784"/>
      <c r="BX451" s="784"/>
      <c r="BY451" s="784"/>
      <c r="BZ451" s="784"/>
    </row>
    <row r="452" spans="1:78" ht="14.25">
      <c r="A452" s="784"/>
      <c r="B452" s="784"/>
      <c r="C452" s="784"/>
      <c r="D452" s="784"/>
      <c r="E452" s="784"/>
      <c r="F452" s="784"/>
      <c r="G452" s="784"/>
      <c r="H452" s="784"/>
      <c r="I452" s="784"/>
      <c r="J452" s="784"/>
      <c r="K452" s="784"/>
      <c r="L452" s="784"/>
      <c r="M452" s="784"/>
      <c r="N452" s="784"/>
      <c r="O452" s="784"/>
      <c r="P452" s="784"/>
      <c r="Q452" s="784"/>
      <c r="R452" s="784"/>
      <c r="S452" s="784"/>
      <c r="T452" s="785"/>
      <c r="U452" s="784"/>
      <c r="V452" s="784"/>
      <c r="W452" s="784"/>
      <c r="X452" s="784"/>
      <c r="Y452" s="784"/>
      <c r="Z452" s="784"/>
      <c r="AA452" s="784"/>
      <c r="AB452" s="784"/>
      <c r="AC452" s="784"/>
      <c r="AD452" s="784"/>
      <c r="AE452" s="784"/>
      <c r="AF452" s="784"/>
      <c r="AG452" s="784"/>
      <c r="AH452" s="784"/>
      <c r="AI452" s="784"/>
      <c r="AJ452" s="784"/>
      <c r="AK452" s="784"/>
      <c r="AL452" s="784"/>
      <c r="AM452" s="784"/>
      <c r="AN452" s="784"/>
      <c r="AO452" s="784"/>
      <c r="AP452" s="784"/>
      <c r="AQ452" s="784"/>
      <c r="AR452" s="784"/>
      <c r="AS452" s="784"/>
      <c r="AT452" s="784"/>
      <c r="AU452" s="784"/>
      <c r="AV452" s="784"/>
      <c r="AW452" s="784"/>
      <c r="AX452" s="784"/>
      <c r="AY452" s="784"/>
      <c r="AZ452" s="784"/>
      <c r="BA452" s="784"/>
      <c r="BB452" s="784"/>
      <c r="BC452" s="784"/>
      <c r="BD452" s="784"/>
      <c r="BE452" s="784"/>
      <c r="BF452" s="784"/>
      <c r="BG452" s="784"/>
      <c r="BH452" s="784"/>
      <c r="BI452" s="784"/>
      <c r="BJ452" s="784"/>
      <c r="BK452" s="784"/>
      <c r="BL452" s="784"/>
      <c r="BM452" s="784"/>
      <c r="BN452" s="784"/>
      <c r="BO452" s="784"/>
      <c r="BP452" s="784"/>
      <c r="BQ452" s="784"/>
      <c r="BR452" s="784"/>
      <c r="BS452" s="784"/>
      <c r="BT452" s="784"/>
      <c r="BU452" s="784"/>
      <c r="BV452" s="784"/>
      <c r="BW452" s="784"/>
      <c r="BX452" s="784"/>
      <c r="BY452" s="784"/>
      <c r="BZ452" s="784"/>
    </row>
    <row r="453" spans="1:78" ht="14.25">
      <c r="A453" s="784"/>
      <c r="B453" s="784"/>
      <c r="C453" s="784"/>
      <c r="D453" s="784"/>
      <c r="E453" s="784"/>
      <c r="F453" s="784"/>
      <c r="G453" s="784"/>
      <c r="H453" s="784"/>
      <c r="I453" s="784"/>
      <c r="J453" s="784"/>
      <c r="K453" s="784"/>
      <c r="L453" s="784"/>
      <c r="M453" s="784"/>
      <c r="N453" s="784"/>
      <c r="O453" s="784"/>
      <c r="P453" s="784"/>
      <c r="Q453" s="784"/>
      <c r="R453" s="784"/>
      <c r="S453" s="784"/>
      <c r="T453" s="785"/>
      <c r="U453" s="784"/>
      <c r="V453" s="784"/>
      <c r="W453" s="784"/>
      <c r="X453" s="784"/>
      <c r="Y453" s="784"/>
      <c r="Z453" s="784"/>
      <c r="AA453" s="784"/>
      <c r="AB453" s="784"/>
      <c r="AC453" s="784"/>
      <c r="AD453" s="784"/>
      <c r="AE453" s="784"/>
      <c r="AF453" s="784"/>
      <c r="AG453" s="784"/>
      <c r="AH453" s="784"/>
      <c r="AI453" s="784"/>
      <c r="AJ453" s="784"/>
      <c r="AK453" s="784"/>
      <c r="AL453" s="784"/>
      <c r="AM453" s="784"/>
      <c r="AN453" s="784"/>
      <c r="AO453" s="784"/>
      <c r="AP453" s="784"/>
      <c r="AQ453" s="784"/>
      <c r="AR453" s="784"/>
      <c r="AS453" s="784"/>
      <c r="AT453" s="784"/>
      <c r="AU453" s="784"/>
      <c r="AV453" s="784"/>
      <c r="AW453" s="784"/>
      <c r="AX453" s="784"/>
      <c r="AY453" s="784"/>
      <c r="AZ453" s="784"/>
      <c r="BA453" s="784"/>
      <c r="BB453" s="784"/>
      <c r="BC453" s="784"/>
      <c r="BD453" s="784"/>
      <c r="BE453" s="784"/>
      <c r="BF453" s="784"/>
      <c r="BG453" s="784"/>
      <c r="BH453" s="784"/>
      <c r="BI453" s="784"/>
      <c r="BJ453" s="784"/>
      <c r="BK453" s="784"/>
      <c r="BL453" s="784"/>
      <c r="BM453" s="784"/>
      <c r="BN453" s="784"/>
      <c r="BO453" s="784"/>
      <c r="BP453" s="784"/>
      <c r="BQ453" s="784"/>
      <c r="BR453" s="784"/>
      <c r="BS453" s="784"/>
      <c r="BT453" s="784"/>
      <c r="BU453" s="784"/>
      <c r="BV453" s="784"/>
      <c r="BW453" s="784"/>
      <c r="BX453" s="784"/>
      <c r="BY453" s="784"/>
      <c r="BZ453" s="784"/>
    </row>
    <row r="454" spans="1:78" ht="14.25">
      <c r="A454" s="784"/>
      <c r="B454" s="784"/>
      <c r="C454" s="784"/>
      <c r="D454" s="784"/>
      <c r="E454" s="784"/>
      <c r="F454" s="784"/>
      <c r="G454" s="784"/>
      <c r="H454" s="784"/>
      <c r="I454" s="784"/>
      <c r="J454" s="784"/>
      <c r="K454" s="784"/>
      <c r="L454" s="784"/>
      <c r="M454" s="784"/>
      <c r="N454" s="784"/>
      <c r="O454" s="784"/>
      <c r="P454" s="784"/>
      <c r="Q454" s="784"/>
      <c r="R454" s="784"/>
      <c r="S454" s="784"/>
      <c r="T454" s="785"/>
      <c r="U454" s="784"/>
      <c r="V454" s="784"/>
      <c r="W454" s="784"/>
      <c r="X454" s="784"/>
      <c r="Y454" s="784"/>
      <c r="Z454" s="784"/>
      <c r="AA454" s="784"/>
      <c r="AB454" s="784"/>
      <c r="AC454" s="784"/>
      <c r="AD454" s="784"/>
      <c r="AE454" s="784"/>
      <c r="AF454" s="784"/>
      <c r="AG454" s="784"/>
      <c r="AH454" s="784"/>
      <c r="AI454" s="784"/>
      <c r="AJ454" s="784"/>
      <c r="AK454" s="784"/>
      <c r="AL454" s="784"/>
      <c r="AM454" s="784"/>
      <c r="AN454" s="784"/>
      <c r="AO454" s="784"/>
      <c r="AP454" s="784"/>
      <c r="AQ454" s="784"/>
      <c r="AR454" s="784"/>
      <c r="AS454" s="784"/>
      <c r="AT454" s="784"/>
      <c r="AU454" s="784"/>
      <c r="AV454" s="784"/>
      <c r="AW454" s="784"/>
      <c r="AX454" s="784"/>
      <c r="AY454" s="784"/>
      <c r="AZ454" s="784"/>
      <c r="BA454" s="784"/>
      <c r="BB454" s="784"/>
      <c r="BC454" s="784"/>
      <c r="BD454" s="784"/>
      <c r="BE454" s="784"/>
      <c r="BF454" s="784"/>
      <c r="BG454" s="784"/>
      <c r="BH454" s="784"/>
      <c r="BI454" s="784"/>
      <c r="BJ454" s="784"/>
      <c r="BK454" s="784"/>
      <c r="BL454" s="784"/>
      <c r="BM454" s="784"/>
      <c r="BN454" s="784"/>
      <c r="BO454" s="784"/>
      <c r="BP454" s="784"/>
      <c r="BQ454" s="784"/>
      <c r="BR454" s="784"/>
      <c r="BS454" s="784"/>
      <c r="BT454" s="784"/>
      <c r="BU454" s="784"/>
      <c r="BV454" s="784"/>
      <c r="BW454" s="784"/>
      <c r="BX454" s="784"/>
      <c r="BY454" s="784"/>
      <c r="BZ454" s="784"/>
    </row>
    <row r="455" spans="1:78" ht="14.25">
      <c r="A455" s="784"/>
      <c r="B455" s="784"/>
      <c r="C455" s="784"/>
      <c r="D455" s="784"/>
      <c r="E455" s="784"/>
      <c r="F455" s="784"/>
      <c r="G455" s="784"/>
      <c r="H455" s="784"/>
      <c r="I455" s="784"/>
      <c r="J455" s="784"/>
      <c r="K455" s="784"/>
      <c r="L455" s="784"/>
      <c r="M455" s="784"/>
      <c r="N455" s="784"/>
      <c r="O455" s="784"/>
      <c r="P455" s="784"/>
      <c r="Q455" s="784"/>
      <c r="R455" s="784"/>
      <c r="S455" s="784"/>
      <c r="T455" s="785"/>
      <c r="U455" s="784"/>
      <c r="V455" s="784"/>
      <c r="W455" s="784"/>
      <c r="X455" s="784"/>
      <c r="Y455" s="784"/>
      <c r="Z455" s="784"/>
      <c r="AA455" s="784"/>
      <c r="AB455" s="784"/>
      <c r="AC455" s="784"/>
      <c r="AD455" s="784"/>
      <c r="AE455" s="784"/>
      <c r="AF455" s="784"/>
      <c r="AG455" s="784"/>
      <c r="AH455" s="784"/>
      <c r="AI455" s="784"/>
      <c r="AJ455" s="784"/>
      <c r="AK455" s="784"/>
      <c r="AL455" s="784"/>
      <c r="AM455" s="784"/>
      <c r="AN455" s="784"/>
      <c r="AO455" s="784"/>
      <c r="AP455" s="784"/>
      <c r="AQ455" s="784"/>
      <c r="AR455" s="784"/>
      <c r="AS455" s="784"/>
      <c r="AT455" s="784"/>
      <c r="AU455" s="784"/>
      <c r="AV455" s="784"/>
      <c r="AW455" s="784"/>
      <c r="AX455" s="784"/>
      <c r="AY455" s="784"/>
      <c r="AZ455" s="784"/>
      <c r="BA455" s="784"/>
      <c r="BB455" s="784"/>
      <c r="BC455" s="784"/>
      <c r="BD455" s="784"/>
      <c r="BE455" s="784"/>
      <c r="BF455" s="784"/>
      <c r="BG455" s="784"/>
      <c r="BH455" s="784"/>
      <c r="BI455" s="784"/>
      <c r="BJ455" s="784"/>
      <c r="BK455" s="784"/>
      <c r="BL455" s="784"/>
      <c r="BM455" s="784"/>
      <c r="BN455" s="784"/>
      <c r="BO455" s="784"/>
      <c r="BP455" s="784"/>
      <c r="BQ455" s="784"/>
      <c r="BR455" s="784"/>
      <c r="BS455" s="784"/>
      <c r="BT455" s="784"/>
      <c r="BU455" s="784"/>
      <c r="BV455" s="784"/>
      <c r="BW455" s="784"/>
      <c r="BX455" s="784"/>
      <c r="BY455" s="784"/>
      <c r="BZ455" s="784"/>
    </row>
    <row r="456" spans="1:78" ht="14.25">
      <c r="A456" s="784"/>
      <c r="B456" s="784"/>
      <c r="C456" s="784"/>
      <c r="D456" s="784"/>
      <c r="E456" s="784"/>
      <c r="F456" s="784"/>
      <c r="G456" s="784"/>
      <c r="H456" s="784"/>
      <c r="I456" s="784"/>
      <c r="J456" s="784"/>
      <c r="K456" s="784"/>
      <c r="L456" s="784"/>
      <c r="M456" s="784"/>
      <c r="N456" s="784"/>
      <c r="O456" s="784"/>
      <c r="P456" s="784"/>
      <c r="Q456" s="784"/>
      <c r="R456" s="784"/>
      <c r="S456" s="784"/>
      <c r="T456" s="785"/>
      <c r="U456" s="784"/>
      <c r="V456" s="784"/>
      <c r="W456" s="784"/>
      <c r="X456" s="784"/>
      <c r="Y456" s="784"/>
      <c r="Z456" s="784"/>
      <c r="AA456" s="784"/>
      <c r="AB456" s="784"/>
      <c r="AC456" s="784"/>
      <c r="AD456" s="784"/>
      <c r="AE456" s="784"/>
      <c r="AF456" s="784"/>
      <c r="AG456" s="784"/>
      <c r="AH456" s="784"/>
      <c r="AI456" s="784"/>
      <c r="AJ456" s="784"/>
      <c r="AK456" s="784"/>
      <c r="AL456" s="784"/>
      <c r="AM456" s="784"/>
      <c r="AN456" s="784"/>
      <c r="AO456" s="784"/>
      <c r="AP456" s="784"/>
      <c r="AQ456" s="784"/>
      <c r="AR456" s="784"/>
      <c r="AS456" s="784"/>
      <c r="AT456" s="784"/>
      <c r="AU456" s="784"/>
      <c r="AV456" s="784"/>
      <c r="AW456" s="784"/>
      <c r="AX456" s="784"/>
      <c r="AY456" s="784"/>
      <c r="AZ456" s="784"/>
      <c r="BA456" s="784"/>
      <c r="BB456" s="784"/>
      <c r="BC456" s="784"/>
      <c r="BD456" s="784"/>
      <c r="BE456" s="784"/>
      <c r="BF456" s="784"/>
      <c r="BG456" s="784"/>
      <c r="BH456" s="784"/>
      <c r="BI456" s="784"/>
      <c r="BJ456" s="784"/>
      <c r="BK456" s="784"/>
      <c r="BL456" s="784"/>
      <c r="BM456" s="784"/>
      <c r="BN456" s="784"/>
      <c r="BO456" s="784"/>
      <c r="BP456" s="784"/>
      <c r="BQ456" s="784"/>
      <c r="BR456" s="784"/>
      <c r="BS456" s="784"/>
      <c r="BT456" s="784"/>
      <c r="BU456" s="784"/>
      <c r="BV456" s="784"/>
      <c r="BW456" s="784"/>
      <c r="BX456" s="784"/>
      <c r="BY456" s="784"/>
      <c r="BZ456" s="784"/>
    </row>
    <row r="457" spans="1:78" ht="14.25">
      <c r="A457" s="784"/>
      <c r="B457" s="784"/>
      <c r="C457" s="784"/>
      <c r="D457" s="784"/>
      <c r="E457" s="784"/>
      <c r="F457" s="784"/>
      <c r="G457" s="784"/>
      <c r="H457" s="784"/>
      <c r="I457" s="784"/>
      <c r="J457" s="784"/>
      <c r="K457" s="784"/>
      <c r="L457" s="784"/>
      <c r="M457" s="784"/>
      <c r="N457" s="784"/>
      <c r="O457" s="784"/>
      <c r="P457" s="784"/>
      <c r="Q457" s="784"/>
      <c r="R457" s="784"/>
      <c r="S457" s="784"/>
      <c r="T457" s="785"/>
      <c r="U457" s="784"/>
      <c r="V457" s="784"/>
      <c r="W457" s="784"/>
      <c r="X457" s="784"/>
      <c r="Y457" s="784"/>
      <c r="Z457" s="784"/>
      <c r="AA457" s="784"/>
      <c r="AB457" s="784"/>
      <c r="AC457" s="784"/>
      <c r="AD457" s="784"/>
      <c r="AE457" s="784"/>
      <c r="AF457" s="784"/>
      <c r="AG457" s="784"/>
      <c r="AH457" s="784"/>
      <c r="AI457" s="784"/>
      <c r="AJ457" s="784"/>
      <c r="AK457" s="784"/>
      <c r="AL457" s="784"/>
      <c r="AM457" s="784"/>
      <c r="AN457" s="784"/>
      <c r="AO457" s="784"/>
      <c r="AP457" s="784"/>
      <c r="AQ457" s="784"/>
      <c r="AR457" s="784"/>
      <c r="AS457" s="784"/>
      <c r="AT457" s="784"/>
      <c r="AU457" s="784"/>
      <c r="AV457" s="784"/>
      <c r="AW457" s="784"/>
      <c r="AX457" s="784"/>
      <c r="AY457" s="784"/>
      <c r="AZ457" s="784"/>
      <c r="BA457" s="784"/>
      <c r="BB457" s="784"/>
      <c r="BC457" s="784"/>
      <c r="BD457" s="784"/>
      <c r="BE457" s="784"/>
      <c r="BF457" s="784"/>
      <c r="BG457" s="784"/>
      <c r="BH457" s="784"/>
      <c r="BI457" s="784"/>
      <c r="BJ457" s="784"/>
      <c r="BK457" s="784"/>
      <c r="BL457" s="784"/>
      <c r="BM457" s="784"/>
      <c r="BN457" s="784"/>
      <c r="BO457" s="784"/>
      <c r="BP457" s="784"/>
      <c r="BQ457" s="784"/>
      <c r="BR457" s="784"/>
      <c r="BS457" s="784"/>
      <c r="BT457" s="784"/>
      <c r="BU457" s="784"/>
      <c r="BV457" s="784"/>
      <c r="BW457" s="784"/>
      <c r="BX457" s="784"/>
      <c r="BY457" s="784"/>
      <c r="BZ457" s="784"/>
    </row>
    <row r="458" spans="1:78" ht="14.25">
      <c r="A458" s="784"/>
      <c r="B458" s="784"/>
      <c r="C458" s="784"/>
      <c r="D458" s="784"/>
      <c r="E458" s="784"/>
      <c r="F458" s="784"/>
      <c r="G458" s="784"/>
      <c r="H458" s="784"/>
      <c r="I458" s="784"/>
      <c r="J458" s="784"/>
      <c r="K458" s="784"/>
      <c r="L458" s="784"/>
      <c r="M458" s="784"/>
      <c r="N458" s="784"/>
      <c r="O458" s="784"/>
      <c r="P458" s="784"/>
      <c r="Q458" s="784"/>
      <c r="R458" s="784"/>
      <c r="S458" s="784"/>
      <c r="T458" s="785"/>
      <c r="U458" s="784"/>
      <c r="V458" s="784"/>
      <c r="W458" s="784"/>
      <c r="X458" s="784"/>
      <c r="Y458" s="784"/>
      <c r="Z458" s="784"/>
      <c r="AA458" s="784"/>
      <c r="AB458" s="784"/>
      <c r="AC458" s="784"/>
      <c r="AD458" s="784"/>
      <c r="AE458" s="784"/>
      <c r="AF458" s="784"/>
      <c r="AG458" s="784"/>
      <c r="AH458" s="784"/>
      <c r="AI458" s="784"/>
      <c r="AJ458" s="784"/>
      <c r="AK458" s="784"/>
      <c r="AL458" s="784"/>
      <c r="AM458" s="784"/>
      <c r="AN458" s="784"/>
      <c r="AO458" s="784"/>
      <c r="AP458" s="784"/>
      <c r="AQ458" s="784"/>
      <c r="AR458" s="784"/>
      <c r="AS458" s="784"/>
      <c r="AT458" s="784"/>
      <c r="AU458" s="784"/>
      <c r="AV458" s="784"/>
      <c r="AW458" s="784"/>
      <c r="AX458" s="784"/>
      <c r="AY458" s="784"/>
      <c r="AZ458" s="784"/>
      <c r="BA458" s="784"/>
      <c r="BB458" s="784"/>
      <c r="BC458" s="784"/>
      <c r="BD458" s="784"/>
      <c r="BE458" s="784"/>
      <c r="BF458" s="784"/>
      <c r="BG458" s="784"/>
      <c r="BH458" s="784"/>
      <c r="BI458" s="784"/>
      <c r="BJ458" s="784"/>
      <c r="BK458" s="784"/>
      <c r="BL458" s="784"/>
      <c r="BM458" s="784"/>
      <c r="BN458" s="784"/>
      <c r="BO458" s="784"/>
      <c r="BP458" s="784"/>
      <c r="BQ458" s="784"/>
      <c r="BR458" s="784"/>
      <c r="BS458" s="784"/>
      <c r="BT458" s="784"/>
      <c r="BU458" s="784"/>
      <c r="BV458" s="784"/>
      <c r="BW458" s="784"/>
      <c r="BX458" s="784"/>
      <c r="BY458" s="784"/>
      <c r="BZ458" s="784"/>
    </row>
    <row r="459" spans="1:78" ht="14.25">
      <c r="A459" s="784"/>
      <c r="B459" s="784"/>
      <c r="C459" s="784"/>
      <c r="D459" s="784"/>
      <c r="E459" s="784"/>
      <c r="F459" s="784"/>
      <c r="G459" s="784"/>
      <c r="H459" s="784"/>
      <c r="I459" s="784"/>
      <c r="J459" s="784"/>
      <c r="K459" s="784"/>
      <c r="L459" s="784"/>
      <c r="M459" s="784"/>
      <c r="N459" s="784"/>
      <c r="O459" s="784"/>
      <c r="P459" s="784"/>
      <c r="Q459" s="784"/>
      <c r="R459" s="784"/>
      <c r="S459" s="784"/>
      <c r="T459" s="785"/>
      <c r="U459" s="784"/>
      <c r="V459" s="784"/>
      <c r="W459" s="784"/>
      <c r="X459" s="784"/>
      <c r="Y459" s="784"/>
      <c r="Z459" s="784"/>
      <c r="AA459" s="784"/>
      <c r="AB459" s="784"/>
      <c r="AC459" s="784"/>
      <c r="AD459" s="784"/>
      <c r="AE459" s="784"/>
      <c r="AF459" s="784"/>
      <c r="AG459" s="784"/>
      <c r="AH459" s="784"/>
      <c r="AI459" s="784"/>
      <c r="AJ459" s="784"/>
      <c r="AK459" s="784"/>
      <c r="AL459" s="784"/>
      <c r="AM459" s="784"/>
      <c r="AN459" s="784"/>
      <c r="AO459" s="784"/>
      <c r="AP459" s="784"/>
      <c r="AQ459" s="784"/>
      <c r="AR459" s="784"/>
      <c r="AS459" s="784"/>
      <c r="AT459" s="784"/>
      <c r="AU459" s="784"/>
      <c r="AV459" s="784"/>
      <c r="AW459" s="784"/>
      <c r="AX459" s="784"/>
      <c r="AY459" s="784"/>
      <c r="AZ459" s="784"/>
      <c r="BA459" s="784"/>
      <c r="BB459" s="784"/>
      <c r="BC459" s="784"/>
      <c r="BD459" s="784"/>
      <c r="BE459" s="784"/>
      <c r="BF459" s="784"/>
      <c r="BG459" s="784"/>
      <c r="BH459" s="784"/>
      <c r="BI459" s="784"/>
      <c r="BJ459" s="784"/>
      <c r="BK459" s="784"/>
      <c r="BL459" s="784"/>
      <c r="BM459" s="784"/>
      <c r="BN459" s="784"/>
      <c r="BO459" s="784"/>
      <c r="BP459" s="784"/>
      <c r="BQ459" s="784"/>
      <c r="BR459" s="784"/>
      <c r="BS459" s="784"/>
      <c r="BT459" s="784"/>
      <c r="BU459" s="784"/>
      <c r="BV459" s="784"/>
      <c r="BW459" s="784"/>
      <c r="BX459" s="784"/>
      <c r="BY459" s="784"/>
      <c r="BZ459" s="784"/>
    </row>
    <row r="460" spans="1:78" ht="14.25">
      <c r="A460" s="784"/>
      <c r="B460" s="784"/>
      <c r="C460" s="784"/>
      <c r="D460" s="784"/>
      <c r="E460" s="784"/>
      <c r="F460" s="784"/>
      <c r="G460" s="784"/>
      <c r="H460" s="784"/>
      <c r="I460" s="784"/>
      <c r="J460" s="784"/>
      <c r="K460" s="784"/>
      <c r="L460" s="784"/>
      <c r="M460" s="784"/>
      <c r="N460" s="784"/>
      <c r="O460" s="784"/>
      <c r="P460" s="784"/>
      <c r="Q460" s="784"/>
      <c r="R460" s="784"/>
      <c r="S460" s="784"/>
      <c r="T460" s="785"/>
      <c r="U460" s="784"/>
      <c r="V460" s="784"/>
      <c r="W460" s="784"/>
      <c r="X460" s="784"/>
      <c r="Y460" s="784"/>
      <c r="Z460" s="784"/>
      <c r="AA460" s="784"/>
      <c r="AB460" s="784"/>
      <c r="AC460" s="784"/>
      <c r="AD460" s="784"/>
      <c r="AE460" s="784"/>
      <c r="AF460" s="784"/>
      <c r="AG460" s="784"/>
      <c r="AH460" s="784"/>
      <c r="AI460" s="784"/>
      <c r="AJ460" s="784"/>
      <c r="AK460" s="784"/>
      <c r="AL460" s="784"/>
      <c r="AM460" s="784"/>
      <c r="AN460" s="784"/>
      <c r="AO460" s="784"/>
      <c r="AP460" s="784"/>
      <c r="AQ460" s="784"/>
      <c r="AR460" s="784"/>
      <c r="AS460" s="784"/>
      <c r="AT460" s="784"/>
      <c r="AU460" s="784"/>
      <c r="AV460" s="784"/>
      <c r="AW460" s="784"/>
      <c r="AX460" s="784"/>
      <c r="AY460" s="784"/>
      <c r="AZ460" s="784"/>
      <c r="BA460" s="784"/>
      <c r="BB460" s="784"/>
      <c r="BC460" s="784"/>
      <c r="BD460" s="784"/>
      <c r="BE460" s="784"/>
      <c r="BF460" s="784"/>
      <c r="BG460" s="784"/>
      <c r="BH460" s="784"/>
      <c r="BI460" s="784"/>
      <c r="BJ460" s="784"/>
      <c r="BK460" s="784"/>
      <c r="BL460" s="784"/>
      <c r="BM460" s="784"/>
      <c r="BN460" s="784"/>
      <c r="BO460" s="784"/>
      <c r="BP460" s="784"/>
      <c r="BQ460" s="784"/>
      <c r="BR460" s="784"/>
      <c r="BS460" s="784"/>
      <c r="BT460" s="784"/>
      <c r="BU460" s="784"/>
      <c r="BV460" s="784"/>
      <c r="BW460" s="784"/>
      <c r="BX460" s="784"/>
      <c r="BY460" s="784"/>
      <c r="BZ460" s="784"/>
    </row>
    <row r="461" spans="1:78" ht="14.25">
      <c r="A461" s="784"/>
      <c r="B461" s="784"/>
      <c r="C461" s="784"/>
      <c r="D461" s="784"/>
      <c r="E461" s="784"/>
      <c r="F461" s="784"/>
      <c r="G461" s="784"/>
      <c r="H461" s="784"/>
      <c r="I461" s="784"/>
      <c r="J461" s="784"/>
      <c r="K461" s="784"/>
      <c r="L461" s="784"/>
      <c r="M461" s="784"/>
      <c r="N461" s="784"/>
      <c r="O461" s="784"/>
      <c r="P461" s="784"/>
      <c r="Q461" s="784"/>
      <c r="R461" s="784"/>
      <c r="S461" s="784"/>
      <c r="T461" s="785"/>
      <c r="U461" s="784"/>
      <c r="V461" s="784"/>
      <c r="W461" s="784"/>
      <c r="X461" s="784"/>
      <c r="Y461" s="784"/>
      <c r="Z461" s="784"/>
      <c r="AA461" s="784"/>
      <c r="AB461" s="784"/>
      <c r="AC461" s="784"/>
      <c r="AD461" s="784"/>
      <c r="AE461" s="784"/>
      <c r="AF461" s="784"/>
      <c r="AG461" s="784"/>
      <c r="AH461" s="784"/>
      <c r="AI461" s="784"/>
      <c r="AJ461" s="784"/>
      <c r="AK461" s="784"/>
      <c r="AL461" s="784"/>
      <c r="AM461" s="784"/>
      <c r="AN461" s="784"/>
      <c r="AO461" s="784"/>
      <c r="AP461" s="784"/>
      <c r="AQ461" s="784"/>
      <c r="AR461" s="784"/>
      <c r="AS461" s="784"/>
      <c r="AT461" s="784"/>
      <c r="AU461" s="784"/>
      <c r="AV461" s="784"/>
      <c r="AW461" s="784"/>
      <c r="AX461" s="784"/>
      <c r="AY461" s="784"/>
      <c r="AZ461" s="784"/>
      <c r="BA461" s="784"/>
      <c r="BB461" s="784"/>
      <c r="BC461" s="784"/>
      <c r="BD461" s="784"/>
      <c r="BE461" s="784"/>
      <c r="BF461" s="784"/>
      <c r="BG461" s="784"/>
      <c r="BH461" s="784"/>
      <c r="BI461" s="784"/>
      <c r="BJ461" s="784"/>
      <c r="BK461" s="784"/>
      <c r="BL461" s="784"/>
      <c r="BM461" s="784"/>
      <c r="BN461" s="784"/>
      <c r="BO461" s="784"/>
      <c r="BP461" s="784"/>
      <c r="BQ461" s="784"/>
      <c r="BR461" s="784"/>
      <c r="BS461" s="784"/>
      <c r="BT461" s="784"/>
      <c r="BU461" s="784"/>
      <c r="BV461" s="784"/>
      <c r="BW461" s="784"/>
      <c r="BX461" s="784"/>
      <c r="BY461" s="784"/>
      <c r="BZ461" s="784"/>
    </row>
    <row r="462" spans="1:78" ht="14.25">
      <c r="A462" s="784"/>
      <c r="B462" s="784"/>
      <c r="C462" s="784"/>
      <c r="D462" s="784"/>
      <c r="E462" s="784"/>
      <c r="F462" s="784"/>
      <c r="G462" s="784"/>
      <c r="H462" s="784"/>
      <c r="I462" s="784"/>
      <c r="J462" s="784"/>
      <c r="K462" s="784"/>
      <c r="L462" s="784"/>
      <c r="M462" s="784"/>
      <c r="N462" s="784"/>
      <c r="O462" s="784"/>
      <c r="P462" s="784"/>
      <c r="Q462" s="784"/>
      <c r="R462" s="784"/>
      <c r="S462" s="784"/>
      <c r="T462" s="785"/>
      <c r="U462" s="784"/>
      <c r="V462" s="784"/>
      <c r="W462" s="784"/>
      <c r="X462" s="784"/>
      <c r="Y462" s="784"/>
      <c r="Z462" s="784"/>
      <c r="AA462" s="784"/>
      <c r="AB462" s="784"/>
      <c r="AC462" s="784"/>
      <c r="AD462" s="784"/>
      <c r="AE462" s="784"/>
      <c r="AF462" s="784"/>
      <c r="AG462" s="784"/>
      <c r="AH462" s="784"/>
      <c r="AI462" s="784"/>
      <c r="AJ462" s="784"/>
      <c r="AK462" s="784"/>
      <c r="AL462" s="784"/>
      <c r="AM462" s="784"/>
      <c r="AN462" s="784"/>
      <c r="AO462" s="784"/>
      <c r="AP462" s="784"/>
      <c r="AQ462" s="784"/>
      <c r="AR462" s="784"/>
      <c r="AS462" s="784"/>
      <c r="AT462" s="784"/>
      <c r="AU462" s="784"/>
      <c r="AV462" s="784"/>
      <c r="AW462" s="784"/>
      <c r="AX462" s="784"/>
      <c r="AY462" s="784"/>
      <c r="AZ462" s="784"/>
      <c r="BA462" s="784"/>
      <c r="BB462" s="784"/>
      <c r="BC462" s="784"/>
      <c r="BD462" s="784"/>
      <c r="BE462" s="784"/>
      <c r="BF462" s="784"/>
      <c r="BG462" s="784"/>
      <c r="BH462" s="784"/>
      <c r="BI462" s="784"/>
      <c r="BJ462" s="784"/>
      <c r="BK462" s="784"/>
      <c r="BL462" s="784"/>
      <c r="BM462" s="784"/>
      <c r="BN462" s="784"/>
      <c r="BO462" s="784"/>
      <c r="BP462" s="784"/>
      <c r="BQ462" s="784"/>
      <c r="BR462" s="784"/>
      <c r="BS462" s="784"/>
      <c r="BT462" s="784"/>
      <c r="BU462" s="784"/>
      <c r="BV462" s="784"/>
      <c r="BW462" s="784"/>
      <c r="BX462" s="784"/>
      <c r="BY462" s="784"/>
      <c r="BZ462" s="784"/>
    </row>
    <row r="463" spans="1:78" ht="14.25">
      <c r="A463" s="784"/>
      <c r="B463" s="784"/>
      <c r="C463" s="784"/>
      <c r="D463" s="784"/>
      <c r="E463" s="784"/>
      <c r="F463" s="784"/>
      <c r="G463" s="784"/>
      <c r="H463" s="784"/>
      <c r="I463" s="784"/>
      <c r="J463" s="784"/>
      <c r="K463" s="784"/>
      <c r="L463" s="784"/>
      <c r="M463" s="784"/>
      <c r="N463" s="784"/>
      <c r="O463" s="784"/>
      <c r="P463" s="784"/>
      <c r="Q463" s="784"/>
      <c r="R463" s="784"/>
      <c r="S463" s="784"/>
      <c r="T463" s="785"/>
      <c r="U463" s="784"/>
      <c r="V463" s="784"/>
      <c r="W463" s="784"/>
      <c r="X463" s="784"/>
      <c r="Y463" s="784"/>
      <c r="Z463" s="784"/>
      <c r="AA463" s="784"/>
      <c r="AB463" s="784"/>
      <c r="AC463" s="784"/>
      <c r="AD463" s="784"/>
      <c r="AE463" s="784"/>
      <c r="AF463" s="784"/>
      <c r="AG463" s="784"/>
      <c r="AH463" s="784"/>
      <c r="AI463" s="784"/>
      <c r="AJ463" s="784"/>
      <c r="AK463" s="784"/>
      <c r="AL463" s="784"/>
      <c r="AM463" s="784"/>
      <c r="AN463" s="784"/>
      <c r="AO463" s="784"/>
      <c r="AP463" s="784"/>
      <c r="AQ463" s="784"/>
      <c r="AR463" s="784"/>
      <c r="AS463" s="784"/>
      <c r="AT463" s="784"/>
      <c r="AU463" s="784"/>
      <c r="AV463" s="784"/>
      <c r="AW463" s="784"/>
      <c r="AX463" s="784"/>
      <c r="AY463" s="784"/>
      <c r="AZ463" s="784"/>
      <c r="BA463" s="784"/>
      <c r="BB463" s="784"/>
      <c r="BC463" s="784"/>
      <c r="BD463" s="784"/>
      <c r="BE463" s="784"/>
      <c r="BF463" s="784"/>
      <c r="BG463" s="784"/>
      <c r="BH463" s="784"/>
      <c r="BI463" s="784"/>
      <c r="BJ463" s="784"/>
      <c r="BK463" s="784"/>
      <c r="BL463" s="784"/>
      <c r="BM463" s="784"/>
      <c r="BN463" s="784"/>
      <c r="BO463" s="784"/>
      <c r="BP463" s="784"/>
      <c r="BQ463" s="784"/>
      <c r="BR463" s="784"/>
      <c r="BS463" s="784"/>
      <c r="BT463" s="784"/>
      <c r="BU463" s="784"/>
      <c r="BV463" s="784"/>
      <c r="BW463" s="784"/>
      <c r="BX463" s="784"/>
      <c r="BY463" s="784"/>
      <c r="BZ463" s="784"/>
    </row>
    <row r="464" spans="1:78" ht="14.25">
      <c r="A464" s="784"/>
      <c r="B464" s="784"/>
      <c r="C464" s="784"/>
      <c r="D464" s="784"/>
      <c r="E464" s="784"/>
      <c r="F464" s="784"/>
      <c r="G464" s="784"/>
      <c r="H464" s="784"/>
      <c r="I464" s="784"/>
      <c r="J464" s="784"/>
      <c r="K464" s="784"/>
      <c r="L464" s="784"/>
      <c r="M464" s="784"/>
      <c r="N464" s="784"/>
      <c r="O464" s="784"/>
      <c r="P464" s="784"/>
      <c r="Q464" s="784"/>
      <c r="R464" s="784"/>
      <c r="S464" s="784"/>
      <c r="T464" s="785"/>
      <c r="U464" s="784"/>
      <c r="V464" s="784"/>
      <c r="W464" s="784"/>
      <c r="X464" s="784"/>
      <c r="Y464" s="784"/>
      <c r="Z464" s="784"/>
      <c r="AA464" s="784"/>
      <c r="AB464" s="784"/>
      <c r="AC464" s="784"/>
      <c r="AD464" s="784"/>
      <c r="AE464" s="784"/>
      <c r="AF464" s="784"/>
      <c r="AG464" s="784"/>
      <c r="AH464" s="784"/>
      <c r="AI464" s="784"/>
      <c r="AJ464" s="784"/>
      <c r="AK464" s="784"/>
      <c r="AL464" s="784"/>
      <c r="AM464" s="784"/>
      <c r="AN464" s="784"/>
      <c r="AO464" s="784"/>
      <c r="AP464" s="784"/>
      <c r="AQ464" s="784"/>
      <c r="AR464" s="784"/>
      <c r="AS464" s="784"/>
      <c r="AT464" s="784"/>
      <c r="AU464" s="784"/>
      <c r="AV464" s="784"/>
      <c r="AW464" s="784"/>
      <c r="AX464" s="784"/>
      <c r="AY464" s="784"/>
      <c r="AZ464" s="784"/>
      <c r="BA464" s="784"/>
      <c r="BB464" s="784"/>
      <c r="BC464" s="784"/>
      <c r="BD464" s="784"/>
      <c r="BE464" s="784"/>
      <c r="BF464" s="784"/>
      <c r="BG464" s="784"/>
      <c r="BH464" s="784"/>
      <c r="BI464" s="784"/>
      <c r="BJ464" s="784"/>
      <c r="BK464" s="784"/>
      <c r="BL464" s="784"/>
      <c r="BM464" s="784"/>
      <c r="BN464" s="784"/>
      <c r="BO464" s="784"/>
      <c r="BP464" s="784"/>
      <c r="BQ464" s="784"/>
      <c r="BR464" s="784"/>
      <c r="BS464" s="784"/>
      <c r="BT464" s="784"/>
      <c r="BU464" s="784"/>
      <c r="BV464" s="784"/>
      <c r="BW464" s="784"/>
      <c r="BX464" s="784"/>
      <c r="BY464" s="784"/>
      <c r="BZ464" s="784"/>
    </row>
    <row r="465" spans="1:78" ht="14.25">
      <c r="A465" s="784"/>
      <c r="B465" s="784"/>
      <c r="C465" s="784"/>
      <c r="D465" s="784"/>
      <c r="E465" s="784"/>
      <c r="F465" s="784"/>
      <c r="G465" s="784"/>
      <c r="H465" s="784"/>
      <c r="I465" s="784"/>
      <c r="J465" s="784"/>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784"/>
      <c r="AY465" s="784"/>
      <c r="AZ465" s="784"/>
      <c r="BA465" s="784"/>
      <c r="BB465" s="784"/>
      <c r="BC465" s="784"/>
      <c r="BD465" s="784"/>
      <c r="BE465" s="784"/>
      <c r="BF465" s="784"/>
      <c r="BG465" s="784"/>
      <c r="BH465" s="784"/>
      <c r="BI465" s="784"/>
      <c r="BJ465" s="784"/>
      <c r="BK465" s="784"/>
      <c r="BL465" s="784"/>
      <c r="BM465" s="784"/>
      <c r="BN465" s="784"/>
      <c r="BO465" s="784"/>
      <c r="BP465" s="784"/>
      <c r="BQ465" s="784"/>
      <c r="BR465" s="784"/>
      <c r="BS465" s="784"/>
      <c r="BT465" s="784"/>
      <c r="BU465" s="784"/>
      <c r="BV465" s="784"/>
      <c r="BW465" s="784"/>
      <c r="BX465" s="784"/>
      <c r="BY465" s="784"/>
      <c r="BZ465" s="784"/>
    </row>
    <row r="466" spans="1:78" ht="14.25">
      <c r="A466" s="784"/>
      <c r="B466" s="784"/>
      <c r="C466" s="784"/>
      <c r="D466" s="784"/>
      <c r="E466" s="784"/>
      <c r="F466" s="784"/>
      <c r="G466" s="784"/>
      <c r="H466" s="784"/>
      <c r="I466" s="784"/>
      <c r="J466" s="784"/>
      <c r="K466" s="784"/>
      <c r="L466" s="784"/>
      <c r="M466" s="784"/>
      <c r="N466" s="784"/>
      <c r="O466" s="784"/>
      <c r="P466" s="784"/>
      <c r="Q466" s="784"/>
      <c r="R466" s="784"/>
      <c r="S466" s="784"/>
      <c r="T466" s="785"/>
      <c r="U466" s="784"/>
      <c r="V466" s="784"/>
      <c r="W466" s="784"/>
      <c r="X466" s="784"/>
      <c r="Y466" s="784"/>
      <c r="Z466" s="784"/>
      <c r="AA466" s="784"/>
      <c r="AB466" s="784"/>
      <c r="AC466" s="784"/>
      <c r="AD466" s="784"/>
      <c r="AE466" s="784"/>
      <c r="AF466" s="784"/>
      <c r="AG466" s="784"/>
      <c r="AH466" s="784"/>
      <c r="AI466" s="784"/>
      <c r="AJ466" s="784"/>
      <c r="AK466" s="784"/>
      <c r="AL466" s="784"/>
      <c r="AM466" s="784"/>
      <c r="AN466" s="784"/>
      <c r="AO466" s="784"/>
      <c r="AP466" s="784"/>
      <c r="AQ466" s="784"/>
      <c r="AR466" s="784"/>
      <c r="AS466" s="784"/>
      <c r="AT466" s="784"/>
      <c r="AU466" s="784"/>
      <c r="AV466" s="784"/>
      <c r="AW466" s="784"/>
      <c r="AX466" s="784"/>
      <c r="AY466" s="784"/>
      <c r="AZ466" s="784"/>
      <c r="BA466" s="784"/>
      <c r="BB466" s="784"/>
      <c r="BC466" s="784"/>
      <c r="BD466" s="784"/>
      <c r="BE466" s="784"/>
      <c r="BF466" s="784"/>
      <c r="BG466" s="784"/>
      <c r="BH466" s="784"/>
      <c r="BI466" s="784"/>
      <c r="BJ466" s="784"/>
      <c r="BK466" s="784"/>
      <c r="BL466" s="784"/>
      <c r="BM466" s="784"/>
      <c r="BN466" s="784"/>
      <c r="BO466" s="784"/>
      <c r="BP466" s="784"/>
      <c r="BQ466" s="784"/>
      <c r="BR466" s="784"/>
      <c r="BS466" s="784"/>
      <c r="BT466" s="784"/>
      <c r="BU466" s="784"/>
      <c r="BV466" s="784"/>
      <c r="BW466" s="784"/>
      <c r="BX466" s="784"/>
      <c r="BY466" s="784"/>
      <c r="BZ466" s="784"/>
    </row>
    <row r="467" spans="1:78" ht="14.25">
      <c r="A467" s="784"/>
      <c r="B467" s="784"/>
      <c r="C467" s="784"/>
      <c r="D467" s="784"/>
      <c r="E467" s="784"/>
      <c r="F467" s="784"/>
      <c r="G467" s="784"/>
      <c r="H467" s="784"/>
      <c r="I467" s="784"/>
      <c r="J467" s="784"/>
      <c r="K467" s="784"/>
      <c r="L467" s="784"/>
      <c r="M467" s="784"/>
      <c r="N467" s="784"/>
      <c r="O467" s="784"/>
      <c r="P467" s="784"/>
      <c r="Q467" s="784"/>
      <c r="R467" s="784"/>
      <c r="S467" s="784"/>
      <c r="T467" s="785"/>
      <c r="U467" s="784"/>
      <c r="V467" s="784"/>
      <c r="W467" s="784"/>
      <c r="X467" s="784"/>
      <c r="Y467" s="784"/>
      <c r="Z467" s="784"/>
      <c r="AA467" s="784"/>
      <c r="AB467" s="784"/>
      <c r="AC467" s="784"/>
      <c r="AD467" s="784"/>
      <c r="AE467" s="784"/>
      <c r="AF467" s="784"/>
      <c r="AG467" s="784"/>
      <c r="AH467" s="784"/>
      <c r="AI467" s="784"/>
      <c r="AJ467" s="784"/>
      <c r="AK467" s="784"/>
      <c r="AL467" s="784"/>
      <c r="AM467" s="784"/>
      <c r="AN467" s="784"/>
      <c r="AO467" s="784"/>
      <c r="AP467" s="784"/>
      <c r="AQ467" s="784"/>
      <c r="AR467" s="784"/>
      <c r="AS467" s="784"/>
      <c r="AT467" s="784"/>
      <c r="AU467" s="784"/>
      <c r="AV467" s="784"/>
      <c r="AW467" s="784"/>
      <c r="AX467" s="784"/>
      <c r="AY467" s="784"/>
      <c r="AZ467" s="784"/>
      <c r="BA467" s="784"/>
      <c r="BB467" s="784"/>
      <c r="BC467" s="784"/>
      <c r="BD467" s="784"/>
      <c r="BE467" s="784"/>
      <c r="BF467" s="784"/>
      <c r="BG467" s="784"/>
      <c r="BH467" s="784"/>
      <c r="BI467" s="784"/>
      <c r="BJ467" s="784"/>
      <c r="BK467" s="784"/>
      <c r="BL467" s="784"/>
      <c r="BM467" s="784"/>
      <c r="BN467" s="784"/>
      <c r="BO467" s="784"/>
      <c r="BP467" s="784"/>
      <c r="BQ467" s="784"/>
      <c r="BR467" s="784"/>
      <c r="BS467" s="784"/>
      <c r="BT467" s="784"/>
      <c r="BU467" s="784"/>
      <c r="BV467" s="784"/>
      <c r="BW467" s="784"/>
      <c r="BX467" s="784"/>
      <c r="BY467" s="784"/>
      <c r="BZ467" s="784"/>
    </row>
    <row r="468" spans="1:78" ht="14.25">
      <c r="A468" s="784"/>
      <c r="B468" s="784"/>
      <c r="C468" s="784"/>
      <c r="D468" s="784"/>
      <c r="E468" s="784"/>
      <c r="F468" s="784"/>
      <c r="G468" s="784"/>
      <c r="H468" s="784"/>
      <c r="I468" s="784"/>
      <c r="J468" s="784"/>
      <c r="K468" s="784"/>
      <c r="L468" s="784"/>
      <c r="M468" s="784"/>
      <c r="N468" s="784"/>
      <c r="O468" s="784"/>
      <c r="P468" s="784"/>
      <c r="Q468" s="784"/>
      <c r="R468" s="784"/>
      <c r="S468" s="784"/>
      <c r="T468" s="785"/>
      <c r="U468" s="784"/>
      <c r="V468" s="784"/>
      <c r="W468" s="784"/>
      <c r="X468" s="784"/>
      <c r="Y468" s="784"/>
      <c r="Z468" s="784"/>
      <c r="AA468" s="784"/>
      <c r="AB468" s="784"/>
      <c r="AC468" s="784"/>
      <c r="AD468" s="784"/>
      <c r="AE468" s="784"/>
      <c r="AF468" s="784"/>
      <c r="AG468" s="784"/>
      <c r="AH468" s="784"/>
      <c r="AI468" s="784"/>
      <c r="AJ468" s="784"/>
      <c r="AK468" s="784"/>
      <c r="AL468" s="784"/>
      <c r="AM468" s="784"/>
      <c r="AN468" s="784"/>
      <c r="AO468" s="784"/>
      <c r="AP468" s="784"/>
      <c r="AQ468" s="784"/>
      <c r="AR468" s="784"/>
      <c r="AS468" s="784"/>
      <c r="AT468" s="784"/>
      <c r="AU468" s="784"/>
      <c r="AV468" s="784"/>
      <c r="AW468" s="784"/>
      <c r="AX468" s="784"/>
      <c r="AY468" s="784"/>
      <c r="AZ468" s="784"/>
      <c r="BA468" s="784"/>
      <c r="BB468" s="784"/>
      <c r="BC468" s="784"/>
      <c r="BD468" s="784"/>
      <c r="BE468" s="784"/>
      <c r="BF468" s="784"/>
      <c r="BG468" s="784"/>
      <c r="BH468" s="784"/>
      <c r="BI468" s="784"/>
      <c r="BJ468" s="784"/>
      <c r="BK468" s="784"/>
      <c r="BL468" s="784"/>
      <c r="BM468" s="784"/>
      <c r="BN468" s="784"/>
      <c r="BO468" s="784"/>
      <c r="BP468" s="784"/>
      <c r="BQ468" s="784"/>
      <c r="BR468" s="784"/>
      <c r="BS468" s="784"/>
      <c r="BT468" s="784"/>
      <c r="BU468" s="784"/>
      <c r="BV468" s="784"/>
      <c r="BW468" s="784"/>
      <c r="BX468" s="784"/>
      <c r="BY468" s="784"/>
      <c r="BZ468" s="784"/>
    </row>
    <row r="469" spans="1:78" ht="14.25">
      <c r="A469" s="784"/>
      <c r="B469" s="784"/>
      <c r="C469" s="784"/>
      <c r="D469" s="784"/>
      <c r="E469" s="784"/>
      <c r="F469" s="784"/>
      <c r="G469" s="784"/>
      <c r="H469" s="784"/>
      <c r="I469" s="784"/>
      <c r="J469" s="784"/>
      <c r="K469" s="784"/>
      <c r="L469" s="784"/>
      <c r="M469" s="784"/>
      <c r="N469" s="784"/>
      <c r="O469" s="784"/>
      <c r="P469" s="784"/>
      <c r="Q469" s="784"/>
      <c r="R469" s="784"/>
      <c r="S469" s="784"/>
      <c r="T469" s="785"/>
      <c r="U469" s="784"/>
      <c r="V469" s="784"/>
      <c r="W469" s="784"/>
      <c r="X469" s="784"/>
      <c r="Y469" s="784"/>
      <c r="Z469" s="784"/>
      <c r="AA469" s="784"/>
      <c r="AB469" s="784"/>
      <c r="AC469" s="784"/>
      <c r="AD469" s="784"/>
      <c r="AE469" s="784"/>
      <c r="AF469" s="784"/>
      <c r="AG469" s="784"/>
      <c r="AH469" s="784"/>
      <c r="AI469" s="784"/>
      <c r="AJ469" s="784"/>
      <c r="AK469" s="784"/>
      <c r="AL469" s="784"/>
      <c r="AM469" s="784"/>
      <c r="AN469" s="784"/>
      <c r="AO469" s="784"/>
      <c r="AP469" s="784"/>
      <c r="AQ469" s="784"/>
      <c r="AR469" s="784"/>
      <c r="AS469" s="784"/>
      <c r="AT469" s="784"/>
      <c r="AU469" s="784"/>
      <c r="AV469" s="784"/>
      <c r="AW469" s="784"/>
      <c r="AX469" s="784"/>
      <c r="AY469" s="784"/>
      <c r="AZ469" s="784"/>
      <c r="BA469" s="784"/>
      <c r="BB469" s="784"/>
      <c r="BC469" s="784"/>
      <c r="BD469" s="784"/>
      <c r="BE469" s="784"/>
      <c r="BF469" s="784"/>
      <c r="BG469" s="784"/>
      <c r="BH469" s="784"/>
      <c r="BI469" s="784"/>
      <c r="BJ469" s="784"/>
      <c r="BK469" s="784"/>
      <c r="BL469" s="784"/>
      <c r="BM469" s="784"/>
      <c r="BN469" s="784"/>
      <c r="BO469" s="784"/>
      <c r="BP469" s="784"/>
      <c r="BQ469" s="784"/>
      <c r="BR469" s="784"/>
      <c r="BS469" s="784"/>
      <c r="BT469" s="784"/>
      <c r="BU469" s="784"/>
      <c r="BV469" s="784"/>
      <c r="BW469" s="784"/>
      <c r="BX469" s="784"/>
      <c r="BY469" s="784"/>
      <c r="BZ469" s="784"/>
    </row>
    <row r="470" spans="1:78" ht="14.25">
      <c r="A470" s="784"/>
      <c r="B470" s="784"/>
      <c r="C470" s="784"/>
      <c r="D470" s="784"/>
      <c r="E470" s="784"/>
      <c r="F470" s="784"/>
      <c r="G470" s="784"/>
      <c r="H470" s="784"/>
      <c r="I470" s="784"/>
      <c r="J470" s="784"/>
      <c r="K470" s="784"/>
      <c r="L470" s="784"/>
      <c r="M470" s="784"/>
      <c r="N470" s="784"/>
      <c r="O470" s="784"/>
      <c r="P470" s="784"/>
      <c r="Q470" s="784"/>
      <c r="R470" s="784"/>
      <c r="S470" s="784"/>
      <c r="T470" s="785"/>
      <c r="U470" s="784"/>
      <c r="V470" s="784"/>
      <c r="W470" s="784"/>
      <c r="X470" s="784"/>
      <c r="Y470" s="784"/>
      <c r="Z470" s="784"/>
      <c r="AA470" s="784"/>
      <c r="AB470" s="784"/>
      <c r="AC470" s="784"/>
      <c r="AD470" s="784"/>
      <c r="AE470" s="784"/>
      <c r="AF470" s="784"/>
      <c r="AG470" s="784"/>
      <c r="AH470" s="784"/>
      <c r="AI470" s="784"/>
      <c r="AJ470" s="784"/>
      <c r="AK470" s="784"/>
      <c r="AL470" s="784"/>
      <c r="AM470" s="784"/>
      <c r="AN470" s="784"/>
      <c r="AO470" s="784"/>
      <c r="AP470" s="784"/>
      <c r="AQ470" s="784"/>
      <c r="AR470" s="784"/>
      <c r="AS470" s="784"/>
      <c r="AT470" s="784"/>
      <c r="AU470" s="784"/>
      <c r="AV470" s="784"/>
      <c r="AW470" s="784"/>
      <c r="AX470" s="784"/>
      <c r="AY470" s="784"/>
      <c r="AZ470" s="784"/>
      <c r="BA470" s="784"/>
      <c r="BB470" s="784"/>
      <c r="BC470" s="784"/>
      <c r="BD470" s="784"/>
      <c r="BE470" s="784"/>
      <c r="BF470" s="784"/>
      <c r="BG470" s="784"/>
      <c r="BH470" s="784"/>
      <c r="BI470" s="784"/>
      <c r="BJ470" s="784"/>
      <c r="BK470" s="784"/>
      <c r="BL470" s="784"/>
      <c r="BM470" s="784"/>
      <c r="BN470" s="784"/>
      <c r="BO470" s="784"/>
      <c r="BP470" s="784"/>
      <c r="BQ470" s="784"/>
      <c r="BR470" s="784"/>
      <c r="BS470" s="784"/>
      <c r="BT470" s="784"/>
      <c r="BU470" s="784"/>
      <c r="BV470" s="784"/>
      <c r="BW470" s="784"/>
      <c r="BX470" s="784"/>
      <c r="BY470" s="784"/>
      <c r="BZ470" s="784"/>
    </row>
    <row r="471" spans="1:78" ht="14.25">
      <c r="A471" s="784"/>
      <c r="B471" s="784"/>
      <c r="C471" s="784"/>
      <c r="D471" s="784"/>
      <c r="E471" s="784"/>
      <c r="F471" s="784"/>
      <c r="G471" s="784"/>
      <c r="H471" s="784"/>
      <c r="I471" s="784"/>
      <c r="J471" s="784"/>
      <c r="K471" s="784"/>
      <c r="L471" s="784"/>
      <c r="M471" s="784"/>
      <c r="N471" s="784"/>
      <c r="O471" s="784"/>
      <c r="P471" s="784"/>
      <c r="Q471" s="784"/>
      <c r="R471" s="784"/>
      <c r="S471" s="784"/>
      <c r="T471" s="785"/>
      <c r="U471" s="784"/>
      <c r="V471" s="784"/>
      <c r="W471" s="784"/>
      <c r="X471" s="784"/>
      <c r="Y471" s="784"/>
      <c r="Z471" s="784"/>
      <c r="AA471" s="784"/>
      <c r="AB471" s="784"/>
      <c r="AC471" s="784"/>
      <c r="AD471" s="784"/>
      <c r="AE471" s="784"/>
      <c r="AF471" s="784"/>
      <c r="AG471" s="784"/>
      <c r="AH471" s="784"/>
      <c r="AI471" s="784"/>
      <c r="AJ471" s="784"/>
      <c r="AK471" s="784"/>
      <c r="AL471" s="784"/>
      <c r="AM471" s="784"/>
      <c r="AN471" s="784"/>
      <c r="AO471" s="784"/>
      <c r="AP471" s="784"/>
      <c r="AQ471" s="784"/>
      <c r="AR471" s="784"/>
      <c r="AS471" s="784"/>
      <c r="AT471" s="784"/>
      <c r="AU471" s="784"/>
      <c r="AV471" s="784"/>
      <c r="AW471" s="784"/>
      <c r="AX471" s="784"/>
      <c r="AY471" s="784"/>
      <c r="AZ471" s="784"/>
      <c r="BA471" s="784"/>
      <c r="BB471" s="784"/>
      <c r="BC471" s="784"/>
      <c r="BD471" s="784"/>
      <c r="BE471" s="784"/>
      <c r="BF471" s="784"/>
      <c r="BG471" s="784"/>
      <c r="BH471" s="784"/>
      <c r="BI471" s="784"/>
      <c r="BJ471" s="784"/>
      <c r="BK471" s="784"/>
      <c r="BL471" s="784"/>
      <c r="BM471" s="784"/>
      <c r="BN471" s="784"/>
      <c r="BO471" s="784"/>
      <c r="BP471" s="784"/>
      <c r="BQ471" s="784"/>
      <c r="BR471" s="784"/>
      <c r="BS471" s="784"/>
      <c r="BT471" s="784"/>
      <c r="BU471" s="784"/>
      <c r="BV471" s="784"/>
      <c r="BW471" s="784"/>
      <c r="BX471" s="784"/>
      <c r="BY471" s="784"/>
      <c r="BZ471" s="784"/>
    </row>
    <row r="472" spans="1:78" ht="14.25">
      <c r="A472" s="784"/>
      <c r="B472" s="784"/>
      <c r="C472" s="784"/>
      <c r="D472" s="784"/>
      <c r="E472" s="784"/>
      <c r="F472" s="784"/>
      <c r="G472" s="784"/>
      <c r="H472" s="784"/>
      <c r="I472" s="784"/>
      <c r="J472" s="784"/>
      <c r="K472" s="784"/>
      <c r="L472" s="784"/>
      <c r="M472" s="784"/>
      <c r="N472" s="784"/>
      <c r="O472" s="784"/>
      <c r="P472" s="784"/>
      <c r="Q472" s="784"/>
      <c r="R472" s="784"/>
      <c r="S472" s="784"/>
      <c r="T472" s="785"/>
      <c r="U472" s="784"/>
      <c r="V472" s="784"/>
      <c r="W472" s="784"/>
      <c r="X472" s="784"/>
      <c r="Y472" s="784"/>
      <c r="Z472" s="784"/>
      <c r="AA472" s="784"/>
      <c r="AB472" s="784"/>
      <c r="AC472" s="784"/>
      <c r="AD472" s="784"/>
      <c r="AE472" s="784"/>
      <c r="AF472" s="784"/>
      <c r="AG472" s="784"/>
      <c r="AH472" s="784"/>
      <c r="AI472" s="784"/>
      <c r="AJ472" s="784"/>
      <c r="AK472" s="784"/>
      <c r="AL472" s="784"/>
      <c r="AM472" s="784"/>
      <c r="AN472" s="784"/>
      <c r="AO472" s="784"/>
      <c r="AP472" s="784"/>
      <c r="AQ472" s="784"/>
      <c r="AR472" s="784"/>
      <c r="AS472" s="784"/>
      <c r="AT472" s="784"/>
      <c r="AU472" s="784"/>
      <c r="AV472" s="784"/>
      <c r="AW472" s="784"/>
      <c r="AX472" s="784"/>
      <c r="AY472" s="784"/>
      <c r="AZ472" s="784"/>
      <c r="BA472" s="784"/>
      <c r="BB472" s="784"/>
      <c r="BC472" s="784"/>
      <c r="BD472" s="784"/>
      <c r="BE472" s="784"/>
      <c r="BF472" s="784"/>
      <c r="BG472" s="784"/>
      <c r="BH472" s="784"/>
      <c r="BI472" s="784"/>
      <c r="BJ472" s="784"/>
      <c r="BK472" s="784"/>
      <c r="BL472" s="784"/>
      <c r="BM472" s="784"/>
      <c r="BN472" s="784"/>
      <c r="BO472" s="784"/>
      <c r="BP472" s="784"/>
      <c r="BQ472" s="784"/>
      <c r="BR472" s="784"/>
      <c r="BS472" s="784"/>
      <c r="BT472" s="784"/>
      <c r="BU472" s="784"/>
      <c r="BV472" s="784"/>
      <c r="BW472" s="784"/>
      <c r="BX472" s="784"/>
      <c r="BY472" s="784"/>
      <c r="BZ472" s="784"/>
    </row>
    <row r="473" spans="1:78" ht="14.25">
      <c r="A473" s="784"/>
      <c r="B473" s="784"/>
      <c r="C473" s="784"/>
      <c r="D473" s="784"/>
      <c r="E473" s="784"/>
      <c r="F473" s="784"/>
      <c r="G473" s="784"/>
      <c r="H473" s="784"/>
      <c r="I473" s="784"/>
      <c r="J473" s="784"/>
      <c r="K473" s="784"/>
      <c r="L473" s="784"/>
      <c r="M473" s="784"/>
      <c r="N473" s="784"/>
      <c r="O473" s="784"/>
      <c r="P473" s="784"/>
      <c r="Q473" s="784"/>
      <c r="R473" s="784"/>
      <c r="S473" s="784"/>
      <c r="T473" s="785"/>
      <c r="U473" s="784"/>
      <c r="V473" s="784"/>
      <c r="W473" s="784"/>
      <c r="X473" s="784"/>
      <c r="Y473" s="784"/>
      <c r="Z473" s="784"/>
      <c r="AA473" s="784"/>
      <c r="AB473" s="784"/>
      <c r="AC473" s="784"/>
      <c r="AD473" s="784"/>
      <c r="AE473" s="784"/>
      <c r="AF473" s="784"/>
      <c r="AG473" s="784"/>
      <c r="AH473" s="784"/>
      <c r="AI473" s="784"/>
      <c r="AJ473" s="784"/>
      <c r="AK473" s="784"/>
      <c r="AL473" s="784"/>
      <c r="AM473" s="784"/>
      <c r="AN473" s="784"/>
      <c r="AO473" s="784"/>
      <c r="AP473" s="784"/>
      <c r="AQ473" s="784"/>
      <c r="AR473" s="784"/>
      <c r="AS473" s="784"/>
      <c r="AT473" s="784"/>
      <c r="AU473" s="784"/>
      <c r="AV473" s="784"/>
      <c r="AW473" s="784"/>
      <c r="AX473" s="784"/>
      <c r="AY473" s="784"/>
      <c r="AZ473" s="784"/>
      <c r="BA473" s="784"/>
      <c r="BB473" s="784"/>
      <c r="BC473" s="784"/>
      <c r="BD473" s="784"/>
      <c r="BE473" s="784"/>
      <c r="BF473" s="784"/>
      <c r="BG473" s="784"/>
      <c r="BH473" s="784"/>
      <c r="BI473" s="784"/>
      <c r="BJ473" s="784"/>
      <c r="BK473" s="784"/>
      <c r="BL473" s="784"/>
      <c r="BM473" s="784"/>
      <c r="BN473" s="784"/>
      <c r="BO473" s="784"/>
      <c r="BP473" s="784"/>
      <c r="BQ473" s="784"/>
      <c r="BR473" s="784"/>
      <c r="BS473" s="784"/>
      <c r="BT473" s="784"/>
      <c r="BU473" s="784"/>
      <c r="BV473" s="784"/>
      <c r="BW473" s="784"/>
      <c r="BX473" s="784"/>
      <c r="BY473" s="784"/>
      <c r="BZ473" s="784"/>
    </row>
    <row r="474" spans="1:78" ht="14.25">
      <c r="A474" s="784"/>
      <c r="B474" s="784"/>
      <c r="C474" s="784"/>
      <c r="D474" s="784"/>
      <c r="E474" s="784"/>
      <c r="F474" s="784"/>
      <c r="G474" s="784"/>
      <c r="H474" s="784"/>
      <c r="I474" s="784"/>
      <c r="J474" s="784"/>
      <c r="K474" s="784"/>
      <c r="L474" s="784"/>
      <c r="M474" s="784"/>
      <c r="N474" s="784"/>
      <c r="O474" s="784"/>
      <c r="P474" s="784"/>
      <c r="Q474" s="784"/>
      <c r="R474" s="784"/>
      <c r="S474" s="784"/>
      <c r="T474" s="785"/>
      <c r="U474" s="784"/>
      <c r="V474" s="784"/>
      <c r="W474" s="784"/>
      <c r="X474" s="784"/>
      <c r="Y474" s="784"/>
      <c r="Z474" s="784"/>
      <c r="AA474" s="784"/>
      <c r="AB474" s="784"/>
      <c r="AC474" s="784"/>
      <c r="AD474" s="784"/>
      <c r="AE474" s="784"/>
      <c r="AF474" s="784"/>
      <c r="AG474" s="784"/>
      <c r="AH474" s="784"/>
      <c r="AI474" s="784"/>
      <c r="AJ474" s="784"/>
      <c r="AK474" s="784"/>
      <c r="AL474" s="784"/>
      <c r="AM474" s="784"/>
      <c r="AN474" s="784"/>
      <c r="AO474" s="784"/>
      <c r="AP474" s="784"/>
      <c r="AQ474" s="784"/>
      <c r="AR474" s="784"/>
      <c r="AS474" s="784"/>
      <c r="AT474" s="784"/>
      <c r="AU474" s="784"/>
      <c r="AV474" s="784"/>
      <c r="AW474" s="784"/>
      <c r="AX474" s="784"/>
      <c r="AY474" s="784"/>
      <c r="AZ474" s="784"/>
      <c r="BA474" s="784"/>
      <c r="BB474" s="784"/>
      <c r="BC474" s="784"/>
      <c r="BD474" s="784"/>
      <c r="BE474" s="784"/>
      <c r="BF474" s="784"/>
      <c r="BG474" s="784"/>
      <c r="BH474" s="784"/>
      <c r="BI474" s="784"/>
      <c r="BJ474" s="784"/>
      <c r="BK474" s="784"/>
      <c r="BL474" s="784"/>
      <c r="BM474" s="784"/>
      <c r="BN474" s="784"/>
      <c r="BO474" s="784"/>
      <c r="BP474" s="784"/>
      <c r="BQ474" s="784"/>
      <c r="BR474" s="784"/>
      <c r="BS474" s="784"/>
      <c r="BT474" s="784"/>
      <c r="BU474" s="784"/>
      <c r="BV474" s="784"/>
      <c r="BW474" s="784"/>
      <c r="BX474" s="784"/>
      <c r="BY474" s="784"/>
      <c r="BZ474" s="784"/>
    </row>
    <row r="475" spans="1:78" ht="14.25">
      <c r="A475" s="784"/>
      <c r="B475" s="784"/>
      <c r="C475" s="784"/>
      <c r="D475" s="784"/>
      <c r="E475" s="784"/>
      <c r="F475" s="784"/>
      <c r="G475" s="784"/>
      <c r="H475" s="784"/>
      <c r="I475" s="784"/>
      <c r="J475" s="784"/>
      <c r="K475" s="784"/>
      <c r="L475" s="784"/>
      <c r="M475" s="784"/>
      <c r="N475" s="784"/>
      <c r="O475" s="784"/>
      <c r="P475" s="784"/>
      <c r="Q475" s="784"/>
      <c r="R475" s="784"/>
      <c r="S475" s="784"/>
      <c r="T475" s="785"/>
      <c r="U475" s="784"/>
      <c r="V475" s="784"/>
      <c r="W475" s="784"/>
      <c r="X475" s="784"/>
      <c r="Y475" s="784"/>
      <c r="Z475" s="784"/>
      <c r="AA475" s="784"/>
      <c r="AB475" s="784"/>
      <c r="AC475" s="784"/>
      <c r="AD475" s="784"/>
      <c r="AE475" s="784"/>
      <c r="AF475" s="784"/>
      <c r="AG475" s="784"/>
      <c r="AH475" s="784"/>
      <c r="AI475" s="784"/>
      <c r="AJ475" s="784"/>
      <c r="AK475" s="784"/>
      <c r="AL475" s="784"/>
      <c r="AM475" s="784"/>
      <c r="AN475" s="784"/>
      <c r="AO475" s="784"/>
      <c r="AP475" s="784"/>
      <c r="AQ475" s="784"/>
      <c r="AR475" s="784"/>
      <c r="AS475" s="784"/>
      <c r="AT475" s="784"/>
      <c r="AU475" s="784"/>
      <c r="AV475" s="784"/>
      <c r="AW475" s="784"/>
      <c r="AX475" s="784"/>
      <c r="AY475" s="784"/>
      <c r="AZ475" s="784"/>
      <c r="BA475" s="784"/>
      <c r="BB475" s="784"/>
      <c r="BC475" s="784"/>
      <c r="BD475" s="784"/>
      <c r="BE475" s="784"/>
      <c r="BF475" s="784"/>
      <c r="BG475" s="784"/>
      <c r="BH475" s="784"/>
      <c r="BI475" s="784"/>
      <c r="BJ475" s="784"/>
      <c r="BK475" s="784"/>
      <c r="BL475" s="784"/>
      <c r="BM475" s="784"/>
      <c r="BN475" s="784"/>
      <c r="BO475" s="784"/>
      <c r="BP475" s="784"/>
      <c r="BQ475" s="784"/>
      <c r="BR475" s="784"/>
      <c r="BS475" s="784"/>
      <c r="BT475" s="784"/>
      <c r="BU475" s="784"/>
      <c r="BV475" s="784"/>
      <c r="BW475" s="784"/>
      <c r="BX475" s="784"/>
      <c r="BY475" s="784"/>
      <c r="BZ475" s="784"/>
    </row>
    <row r="476" spans="1:78" ht="14.25">
      <c r="A476" s="784"/>
      <c r="B476" s="784"/>
      <c r="C476" s="784"/>
      <c r="D476" s="784"/>
      <c r="E476" s="784"/>
      <c r="F476" s="784"/>
      <c r="G476" s="784"/>
      <c r="H476" s="784"/>
      <c r="I476" s="784"/>
      <c r="J476" s="784"/>
      <c r="K476" s="784"/>
      <c r="L476" s="784"/>
      <c r="M476" s="784"/>
      <c r="N476" s="784"/>
      <c r="O476" s="784"/>
      <c r="P476" s="784"/>
      <c r="Q476" s="784"/>
      <c r="R476" s="784"/>
      <c r="S476" s="784"/>
      <c r="T476" s="785"/>
      <c r="U476" s="784"/>
      <c r="V476" s="784"/>
      <c r="W476" s="784"/>
      <c r="X476" s="784"/>
      <c r="Y476" s="784"/>
      <c r="Z476" s="784"/>
      <c r="AA476" s="784"/>
      <c r="AB476" s="784"/>
      <c r="AC476" s="784"/>
      <c r="AD476" s="784"/>
      <c r="AE476" s="784"/>
      <c r="AF476" s="784"/>
      <c r="AG476" s="784"/>
      <c r="AH476" s="784"/>
      <c r="AI476" s="784"/>
      <c r="AJ476" s="784"/>
      <c r="AK476" s="784"/>
      <c r="AL476" s="784"/>
      <c r="AM476" s="784"/>
      <c r="AN476" s="784"/>
      <c r="AO476" s="784"/>
      <c r="AP476" s="784"/>
      <c r="AQ476" s="784"/>
      <c r="AR476" s="784"/>
      <c r="AS476" s="784"/>
      <c r="AT476" s="784"/>
      <c r="AU476" s="784"/>
      <c r="AV476" s="784"/>
      <c r="AW476" s="784"/>
      <c r="AX476" s="784"/>
      <c r="AY476" s="784"/>
      <c r="AZ476" s="784"/>
      <c r="BA476" s="784"/>
      <c r="BB476" s="784"/>
      <c r="BC476" s="784"/>
      <c r="BD476" s="784"/>
      <c r="BE476" s="784"/>
      <c r="BF476" s="784"/>
      <c r="BG476" s="784"/>
      <c r="BH476" s="784"/>
      <c r="BI476" s="784"/>
      <c r="BJ476" s="784"/>
      <c r="BK476" s="784"/>
      <c r="BL476" s="784"/>
      <c r="BM476" s="784"/>
      <c r="BN476" s="784"/>
      <c r="BO476" s="784"/>
      <c r="BP476" s="784"/>
      <c r="BQ476" s="784"/>
      <c r="BR476" s="784"/>
      <c r="BS476" s="784"/>
      <c r="BT476" s="784"/>
      <c r="BU476" s="784"/>
      <c r="BV476" s="784"/>
      <c r="BW476" s="784"/>
      <c r="BX476" s="784"/>
      <c r="BY476" s="784"/>
      <c r="BZ476" s="784"/>
    </row>
    <row r="477" spans="1:78" ht="14.25">
      <c r="A477" s="784"/>
      <c r="B477" s="784"/>
      <c r="C477" s="784"/>
      <c r="D477" s="784"/>
      <c r="E477" s="784"/>
      <c r="F477" s="784"/>
      <c r="G477" s="784"/>
      <c r="H477" s="784"/>
      <c r="I477" s="784"/>
      <c r="J477" s="784"/>
      <c r="K477" s="784"/>
      <c r="L477" s="784"/>
      <c r="M477" s="784"/>
      <c r="N477" s="784"/>
      <c r="O477" s="784"/>
      <c r="P477" s="784"/>
      <c r="Q477" s="784"/>
      <c r="R477" s="784"/>
      <c r="S477" s="784"/>
      <c r="T477" s="785"/>
      <c r="U477" s="784"/>
      <c r="V477" s="784"/>
      <c r="W477" s="784"/>
      <c r="X477" s="784"/>
      <c r="Y477" s="784"/>
      <c r="Z477" s="784"/>
      <c r="AA477" s="784"/>
      <c r="AB477" s="784"/>
      <c r="AC477" s="784"/>
      <c r="AD477" s="784"/>
      <c r="AE477" s="784"/>
      <c r="AF477" s="784"/>
      <c r="AG477" s="784"/>
      <c r="AH477" s="784"/>
      <c r="AI477" s="784"/>
      <c r="AJ477" s="784"/>
      <c r="AK477" s="784"/>
      <c r="AL477" s="784"/>
      <c r="AM477" s="784"/>
      <c r="AN477" s="784"/>
      <c r="AO477" s="784"/>
      <c r="AP477" s="784"/>
      <c r="AQ477" s="784"/>
      <c r="AR477" s="784"/>
      <c r="AS477" s="784"/>
      <c r="AT477" s="784"/>
      <c r="AU477" s="784"/>
      <c r="AV477" s="784"/>
      <c r="AW477" s="784"/>
      <c r="AX477" s="784"/>
      <c r="AY477" s="784"/>
      <c r="AZ477" s="784"/>
      <c r="BA477" s="784"/>
      <c r="BB477" s="784"/>
      <c r="BC477" s="784"/>
      <c r="BD477" s="784"/>
      <c r="BE477" s="784"/>
      <c r="BF477" s="784"/>
      <c r="BG477" s="784"/>
      <c r="BH477" s="784"/>
      <c r="BI477" s="784"/>
      <c r="BJ477" s="784"/>
      <c r="BK477" s="784"/>
      <c r="BL477" s="784"/>
      <c r="BM477" s="784"/>
      <c r="BN477" s="784"/>
      <c r="BO477" s="784"/>
      <c r="BP477" s="784"/>
      <c r="BQ477" s="784"/>
      <c r="BR477" s="784"/>
      <c r="BS477" s="784"/>
      <c r="BT477" s="784"/>
      <c r="BU477" s="784"/>
      <c r="BV477" s="784"/>
      <c r="BW477" s="784"/>
      <c r="BX477" s="784"/>
      <c r="BY477" s="784"/>
      <c r="BZ477" s="784"/>
    </row>
    <row r="478" spans="1:78" ht="14.25">
      <c r="A478" s="784"/>
      <c r="B478" s="784"/>
      <c r="C478" s="784"/>
      <c r="D478" s="784"/>
      <c r="E478" s="784"/>
      <c r="F478" s="784"/>
      <c r="G478" s="784"/>
      <c r="H478" s="784"/>
      <c r="I478" s="784"/>
      <c r="J478" s="784"/>
      <c r="K478" s="784"/>
      <c r="L478" s="784"/>
      <c r="M478" s="784"/>
      <c r="N478" s="784"/>
      <c r="O478" s="784"/>
      <c r="P478" s="784"/>
      <c r="Q478" s="784"/>
      <c r="R478" s="784"/>
      <c r="S478" s="784"/>
      <c r="T478" s="785"/>
      <c r="U478" s="784"/>
      <c r="V478" s="784"/>
      <c r="W478" s="784"/>
      <c r="X478" s="784"/>
      <c r="Y478" s="784"/>
      <c r="Z478" s="784"/>
      <c r="AA478" s="784"/>
      <c r="AB478" s="784"/>
      <c r="AC478" s="784"/>
      <c r="AD478" s="784"/>
      <c r="AE478" s="784"/>
      <c r="AF478" s="784"/>
      <c r="AG478" s="784"/>
      <c r="AH478" s="784"/>
      <c r="AI478" s="784"/>
      <c r="AJ478" s="784"/>
      <c r="AK478" s="784"/>
      <c r="AL478" s="784"/>
      <c r="AM478" s="784"/>
      <c r="AN478" s="784"/>
      <c r="AO478" s="784"/>
      <c r="AP478" s="784"/>
      <c r="AQ478" s="784"/>
      <c r="AR478" s="784"/>
      <c r="AS478" s="784"/>
      <c r="AT478" s="784"/>
      <c r="AU478" s="784"/>
      <c r="AV478" s="784"/>
      <c r="AW478" s="784"/>
      <c r="AX478" s="784"/>
      <c r="AY478" s="784"/>
      <c r="AZ478" s="784"/>
      <c r="BA478" s="784"/>
      <c r="BB478" s="784"/>
      <c r="BC478" s="784"/>
      <c r="BD478" s="784"/>
      <c r="BE478" s="784"/>
      <c r="BF478" s="784"/>
      <c r="BG478" s="784"/>
      <c r="BH478" s="784"/>
      <c r="BI478" s="784"/>
      <c r="BJ478" s="784"/>
      <c r="BK478" s="784"/>
      <c r="BL478" s="784"/>
      <c r="BM478" s="784"/>
      <c r="BN478" s="784"/>
      <c r="BO478" s="784"/>
      <c r="BP478" s="784"/>
      <c r="BQ478" s="784"/>
      <c r="BR478" s="784"/>
      <c r="BS478" s="784"/>
      <c r="BT478" s="784"/>
      <c r="BU478" s="784"/>
      <c r="BV478" s="784"/>
      <c r="BW478" s="784"/>
      <c r="BX478" s="784"/>
      <c r="BY478" s="784"/>
      <c r="BZ478" s="784"/>
    </row>
    <row r="479" spans="1:78" ht="14.25">
      <c r="A479" s="784"/>
      <c r="B479" s="784"/>
      <c r="C479" s="784"/>
      <c r="D479" s="784"/>
      <c r="E479" s="784"/>
      <c r="F479" s="784"/>
      <c r="G479" s="784"/>
      <c r="H479" s="784"/>
      <c r="I479" s="784"/>
      <c r="J479" s="784"/>
      <c r="K479" s="784"/>
      <c r="L479" s="784"/>
      <c r="M479" s="784"/>
      <c r="N479" s="784"/>
      <c r="O479" s="784"/>
      <c r="P479" s="784"/>
      <c r="Q479" s="784"/>
      <c r="R479" s="784"/>
      <c r="S479" s="784"/>
      <c r="T479" s="785"/>
      <c r="U479" s="784"/>
      <c r="V479" s="784"/>
      <c r="W479" s="784"/>
      <c r="X479" s="784"/>
      <c r="Y479" s="784"/>
      <c r="Z479" s="784"/>
      <c r="AA479" s="784"/>
      <c r="AB479" s="784"/>
      <c r="AC479" s="784"/>
      <c r="AD479" s="784"/>
      <c r="AE479" s="784"/>
      <c r="AF479" s="784"/>
      <c r="AG479" s="784"/>
      <c r="AH479" s="784"/>
      <c r="AI479" s="784"/>
      <c r="AJ479" s="784"/>
      <c r="AK479" s="784"/>
      <c r="AL479" s="784"/>
      <c r="AM479" s="784"/>
      <c r="AN479" s="784"/>
      <c r="AO479" s="784"/>
      <c r="AP479" s="784"/>
      <c r="AQ479" s="784"/>
      <c r="AR479" s="784"/>
      <c r="AS479" s="784"/>
      <c r="AT479" s="784"/>
      <c r="AU479" s="784"/>
      <c r="AV479" s="784"/>
      <c r="AW479" s="784"/>
      <c r="AX479" s="784"/>
      <c r="AY479" s="784"/>
      <c r="AZ479" s="784"/>
      <c r="BA479" s="784"/>
      <c r="BB479" s="784"/>
      <c r="BC479" s="784"/>
      <c r="BD479" s="784"/>
      <c r="BE479" s="784"/>
      <c r="BF479" s="784"/>
      <c r="BG479" s="784"/>
      <c r="BH479" s="784"/>
      <c r="BI479" s="784"/>
      <c r="BJ479" s="784"/>
      <c r="BK479" s="784"/>
      <c r="BL479" s="784"/>
      <c r="BM479" s="784"/>
      <c r="BN479" s="784"/>
      <c r="BO479" s="784"/>
      <c r="BP479" s="784"/>
      <c r="BQ479" s="784"/>
      <c r="BR479" s="784"/>
      <c r="BS479" s="784"/>
      <c r="BT479" s="784"/>
      <c r="BU479" s="784"/>
      <c r="BV479" s="784"/>
      <c r="BW479" s="784"/>
      <c r="BX479" s="784"/>
      <c r="BY479" s="784"/>
      <c r="BZ479" s="784"/>
    </row>
    <row r="480" spans="1:78" ht="14.25">
      <c r="A480" s="784"/>
      <c r="B480" s="784"/>
      <c r="C480" s="784"/>
      <c r="D480" s="784"/>
      <c r="E480" s="784"/>
      <c r="F480" s="784"/>
      <c r="G480" s="784"/>
      <c r="H480" s="784"/>
      <c r="I480" s="784"/>
      <c r="J480" s="784"/>
      <c r="K480" s="784"/>
      <c r="L480" s="784"/>
      <c r="M480" s="784"/>
      <c r="N480" s="784"/>
      <c r="O480" s="784"/>
      <c r="P480" s="784"/>
      <c r="Q480" s="784"/>
      <c r="R480" s="784"/>
      <c r="S480" s="784"/>
      <c r="T480" s="785"/>
      <c r="U480" s="784"/>
      <c r="V480" s="784"/>
      <c r="W480" s="784"/>
      <c r="X480" s="784"/>
      <c r="Y480" s="784"/>
      <c r="Z480" s="784"/>
      <c r="AA480" s="784"/>
      <c r="AB480" s="784"/>
      <c r="AC480" s="784"/>
      <c r="AD480" s="784"/>
      <c r="AE480" s="784"/>
      <c r="AF480" s="784"/>
      <c r="AG480" s="784"/>
      <c r="AH480" s="784"/>
      <c r="AI480" s="784"/>
      <c r="AJ480" s="784"/>
      <c r="AK480" s="784"/>
      <c r="AL480" s="784"/>
      <c r="AM480" s="784"/>
      <c r="AN480" s="784"/>
      <c r="AO480" s="784"/>
      <c r="AP480" s="784"/>
      <c r="AQ480" s="784"/>
      <c r="AR480" s="784"/>
      <c r="AS480" s="784"/>
      <c r="AT480" s="784"/>
      <c r="AU480" s="784"/>
      <c r="AV480" s="784"/>
      <c r="AW480" s="784"/>
      <c r="AX480" s="784"/>
      <c r="AY480" s="784"/>
      <c r="AZ480" s="784"/>
      <c r="BA480" s="784"/>
      <c r="BB480" s="784"/>
      <c r="BC480" s="784"/>
      <c r="BD480" s="784"/>
      <c r="BE480" s="784"/>
      <c r="BF480" s="784"/>
      <c r="BG480" s="784"/>
      <c r="BH480" s="784"/>
      <c r="BI480" s="784"/>
      <c r="BJ480" s="784"/>
      <c r="BK480" s="784"/>
      <c r="BL480" s="784"/>
      <c r="BM480" s="784"/>
      <c r="BN480" s="784"/>
      <c r="BO480" s="784"/>
      <c r="BP480" s="784"/>
      <c r="BQ480" s="784"/>
      <c r="BR480" s="784"/>
      <c r="BS480" s="784"/>
      <c r="BT480" s="784"/>
      <c r="BU480" s="784"/>
      <c r="BV480" s="784"/>
      <c r="BW480" s="784"/>
      <c r="BX480" s="784"/>
      <c r="BY480" s="784"/>
      <c r="BZ480" s="784"/>
    </row>
    <row r="481" spans="1:78" ht="14.25">
      <c r="A481" s="784"/>
      <c r="B481" s="784"/>
      <c r="C481" s="784"/>
      <c r="D481" s="784"/>
      <c r="E481" s="784"/>
      <c r="F481" s="784"/>
      <c r="G481" s="784"/>
      <c r="H481" s="784"/>
      <c r="I481" s="784"/>
      <c r="J481" s="784"/>
      <c r="K481" s="784"/>
      <c r="L481" s="784"/>
      <c r="M481" s="784"/>
      <c r="N481" s="784"/>
      <c r="O481" s="784"/>
      <c r="P481" s="784"/>
      <c r="Q481" s="784"/>
      <c r="R481" s="784"/>
      <c r="S481" s="784"/>
      <c r="T481" s="785"/>
      <c r="U481" s="784"/>
      <c r="V481" s="784"/>
      <c r="W481" s="784"/>
      <c r="X481" s="784"/>
      <c r="Y481" s="784"/>
      <c r="Z481" s="784"/>
      <c r="AA481" s="784"/>
      <c r="AB481" s="784"/>
      <c r="AC481" s="784"/>
      <c r="AD481" s="784"/>
      <c r="AE481" s="784"/>
      <c r="AF481" s="784"/>
      <c r="AG481" s="784"/>
      <c r="AH481" s="784"/>
      <c r="AI481" s="784"/>
      <c r="AJ481" s="784"/>
      <c r="AK481" s="784"/>
      <c r="AL481" s="784"/>
      <c r="AM481" s="784"/>
      <c r="AN481" s="784"/>
      <c r="AO481" s="784"/>
      <c r="AP481" s="784"/>
      <c r="AQ481" s="784"/>
      <c r="AR481" s="784"/>
      <c r="AS481" s="784"/>
      <c r="AT481" s="784"/>
      <c r="AU481" s="784"/>
      <c r="AV481" s="784"/>
      <c r="AW481" s="784"/>
      <c r="AX481" s="784"/>
      <c r="AY481" s="784"/>
      <c r="AZ481" s="784"/>
      <c r="BA481" s="784"/>
      <c r="BB481" s="784"/>
      <c r="BC481" s="784"/>
      <c r="BD481" s="784"/>
      <c r="BE481" s="784"/>
      <c r="BF481" s="784"/>
      <c r="BG481" s="784"/>
      <c r="BH481" s="784"/>
      <c r="BI481" s="784"/>
      <c r="BJ481" s="784"/>
      <c r="BK481" s="784"/>
      <c r="BL481" s="784"/>
      <c r="BM481" s="784"/>
      <c r="BN481" s="784"/>
      <c r="BO481" s="784"/>
      <c r="BP481" s="784"/>
      <c r="BQ481" s="784"/>
      <c r="BR481" s="784"/>
      <c r="BS481" s="784"/>
      <c r="BT481" s="784"/>
      <c r="BU481" s="784"/>
      <c r="BV481" s="784"/>
      <c r="BW481" s="784"/>
      <c r="BX481" s="784"/>
      <c r="BY481" s="784"/>
      <c r="BZ481" s="784"/>
    </row>
    <row r="482" spans="1:78" ht="14.25">
      <c r="A482" s="784"/>
      <c r="B482" s="784"/>
      <c r="C482" s="784"/>
      <c r="D482" s="784"/>
      <c r="E482" s="784"/>
      <c r="F482" s="784"/>
      <c r="G482" s="784"/>
      <c r="H482" s="784"/>
      <c r="I482" s="784"/>
      <c r="J482" s="784"/>
      <c r="K482" s="784"/>
      <c r="L482" s="784"/>
      <c r="M482" s="784"/>
      <c r="N482" s="784"/>
      <c r="O482" s="784"/>
      <c r="P482" s="784"/>
      <c r="Q482" s="784"/>
      <c r="R482" s="784"/>
      <c r="S482" s="784"/>
      <c r="T482" s="785"/>
      <c r="U482" s="784"/>
      <c r="V482" s="784"/>
      <c r="W482" s="784"/>
      <c r="X482" s="784"/>
      <c r="Y482" s="784"/>
      <c r="Z482" s="784"/>
      <c r="AA482" s="784"/>
      <c r="AB482" s="784"/>
      <c r="AC482" s="784"/>
      <c r="AD482" s="784"/>
      <c r="AE482" s="784"/>
      <c r="AF482" s="784"/>
      <c r="AG482" s="784"/>
      <c r="AH482" s="784"/>
      <c r="AI482" s="784"/>
      <c r="AJ482" s="784"/>
      <c r="AK482" s="784"/>
      <c r="AL482" s="784"/>
      <c r="AM482" s="784"/>
      <c r="AN482" s="784"/>
      <c r="AO482" s="784"/>
      <c r="AP482" s="784"/>
      <c r="AQ482" s="784"/>
      <c r="AR482" s="784"/>
      <c r="AS482" s="784"/>
      <c r="AT482" s="784"/>
      <c r="AU482" s="784"/>
      <c r="AV482" s="784"/>
      <c r="AW482" s="784"/>
      <c r="AX482" s="784"/>
      <c r="AY482" s="784"/>
      <c r="AZ482" s="784"/>
      <c r="BA482" s="784"/>
      <c r="BB482" s="784"/>
      <c r="BC482" s="784"/>
      <c r="BD482" s="784"/>
      <c r="BE482" s="784"/>
      <c r="BF482" s="784"/>
      <c r="BG482" s="784"/>
      <c r="BH482" s="784"/>
      <c r="BI482" s="784"/>
      <c r="BJ482" s="784"/>
      <c r="BK482" s="784"/>
      <c r="BL482" s="784"/>
      <c r="BM482" s="784"/>
      <c r="BN482" s="784"/>
      <c r="BO482" s="784"/>
      <c r="BP482" s="784"/>
      <c r="BQ482" s="784"/>
      <c r="BR482" s="784"/>
      <c r="BS482" s="784"/>
      <c r="BT482" s="784"/>
      <c r="BU482" s="784"/>
      <c r="BV482" s="784"/>
      <c r="BW482" s="784"/>
      <c r="BX482" s="784"/>
      <c r="BY482" s="784"/>
      <c r="BZ482" s="784"/>
    </row>
    <row r="483" spans="1:78" ht="14.25">
      <c r="A483" s="784"/>
      <c r="B483" s="784"/>
      <c r="C483" s="784"/>
      <c r="D483" s="784"/>
      <c r="E483" s="784"/>
      <c r="F483" s="784"/>
      <c r="G483" s="784"/>
      <c r="H483" s="784"/>
      <c r="I483" s="784"/>
      <c r="J483" s="784"/>
      <c r="K483" s="784"/>
      <c r="L483" s="784"/>
      <c r="M483" s="784"/>
      <c r="N483" s="784"/>
      <c r="O483" s="784"/>
      <c r="P483" s="784"/>
      <c r="Q483" s="784"/>
      <c r="R483" s="784"/>
      <c r="S483" s="784"/>
      <c r="T483" s="785"/>
      <c r="U483" s="784"/>
      <c r="V483" s="784"/>
      <c r="W483" s="784"/>
      <c r="X483" s="784"/>
      <c r="Y483" s="784"/>
      <c r="Z483" s="784"/>
      <c r="AA483" s="784"/>
      <c r="AB483" s="784"/>
      <c r="AC483" s="784"/>
      <c r="AD483" s="784"/>
      <c r="AE483" s="784"/>
      <c r="AF483" s="784"/>
      <c r="AG483" s="784"/>
      <c r="AH483" s="784"/>
      <c r="AI483" s="784"/>
      <c r="AJ483" s="784"/>
      <c r="AK483" s="784"/>
      <c r="AL483" s="784"/>
      <c r="AM483" s="784"/>
      <c r="AN483" s="784"/>
      <c r="AO483" s="784"/>
      <c r="AP483" s="784"/>
      <c r="AQ483" s="784"/>
      <c r="AR483" s="784"/>
      <c r="AS483" s="784"/>
      <c r="AT483" s="784"/>
      <c r="AU483" s="784"/>
      <c r="AV483" s="784"/>
      <c r="AW483" s="784"/>
      <c r="AX483" s="784"/>
      <c r="AY483" s="784"/>
      <c r="AZ483" s="784"/>
      <c r="BA483" s="784"/>
      <c r="BB483" s="784"/>
      <c r="BC483" s="784"/>
      <c r="BD483" s="784"/>
      <c r="BE483" s="784"/>
      <c r="BF483" s="784"/>
      <c r="BG483" s="784"/>
      <c r="BH483" s="784"/>
      <c r="BI483" s="784"/>
      <c r="BJ483" s="784"/>
      <c r="BK483" s="784"/>
      <c r="BL483" s="784"/>
      <c r="BM483" s="784"/>
      <c r="BN483" s="784"/>
      <c r="BO483" s="784"/>
      <c r="BP483" s="784"/>
      <c r="BQ483" s="784"/>
      <c r="BR483" s="784"/>
      <c r="BS483" s="784"/>
      <c r="BT483" s="784"/>
      <c r="BU483" s="784"/>
      <c r="BV483" s="784"/>
      <c r="BW483" s="784"/>
      <c r="BX483" s="784"/>
      <c r="BY483" s="784"/>
      <c r="BZ483" s="784"/>
    </row>
    <row r="484" spans="1:78" ht="14.25">
      <c r="A484" s="784"/>
      <c r="B484" s="784"/>
      <c r="C484" s="784"/>
      <c r="D484" s="784"/>
      <c r="E484" s="784"/>
      <c r="F484" s="784"/>
      <c r="G484" s="784"/>
      <c r="H484" s="784"/>
      <c r="I484" s="784"/>
      <c r="J484" s="784"/>
      <c r="K484" s="784"/>
      <c r="L484" s="784"/>
      <c r="M484" s="784"/>
      <c r="N484" s="784"/>
      <c r="O484" s="784"/>
      <c r="P484" s="784"/>
      <c r="Q484" s="784"/>
      <c r="R484" s="784"/>
      <c r="S484" s="784"/>
      <c r="T484" s="785"/>
      <c r="U484" s="784"/>
      <c r="V484" s="784"/>
      <c r="W484" s="784"/>
      <c r="X484" s="784"/>
      <c r="Y484" s="784"/>
      <c r="Z484" s="784"/>
      <c r="AA484" s="784"/>
      <c r="AB484" s="784"/>
      <c r="AC484" s="784"/>
      <c r="AD484" s="784"/>
      <c r="AE484" s="784"/>
      <c r="AF484" s="784"/>
      <c r="AG484" s="784"/>
      <c r="AH484" s="784"/>
      <c r="AI484" s="784"/>
      <c r="AJ484" s="784"/>
      <c r="AK484" s="784"/>
      <c r="AL484" s="784"/>
      <c r="AM484" s="784"/>
      <c r="AN484" s="784"/>
      <c r="AO484" s="784"/>
      <c r="AP484" s="784"/>
      <c r="AQ484" s="784"/>
      <c r="AR484" s="784"/>
      <c r="AS484" s="784"/>
      <c r="AT484" s="784"/>
      <c r="AU484" s="784"/>
      <c r="AV484" s="784"/>
      <c r="AW484" s="784"/>
      <c r="AX484" s="784"/>
      <c r="AY484" s="784"/>
      <c r="AZ484" s="784"/>
      <c r="BA484" s="784"/>
      <c r="BB484" s="784"/>
      <c r="BC484" s="784"/>
      <c r="BD484" s="784"/>
      <c r="BE484" s="784"/>
      <c r="BF484" s="784"/>
      <c r="BG484" s="784"/>
      <c r="BH484" s="784"/>
      <c r="BI484" s="784"/>
      <c r="BJ484" s="784"/>
      <c r="BK484" s="784"/>
      <c r="BL484" s="784"/>
      <c r="BM484" s="784"/>
      <c r="BN484" s="784"/>
      <c r="BO484" s="784"/>
      <c r="BP484" s="784"/>
      <c r="BQ484" s="784"/>
      <c r="BR484" s="784"/>
      <c r="BS484" s="784"/>
      <c r="BT484" s="784"/>
      <c r="BU484" s="784"/>
      <c r="BV484" s="784"/>
      <c r="BW484" s="784"/>
      <c r="BX484" s="784"/>
      <c r="BY484" s="784"/>
      <c r="BZ484" s="784"/>
    </row>
    <row r="485" spans="1:78" ht="14.25">
      <c r="A485" s="784"/>
      <c r="B485" s="784"/>
      <c r="C485" s="784"/>
      <c r="D485" s="784"/>
      <c r="E485" s="784"/>
      <c r="F485" s="784"/>
      <c r="G485" s="784"/>
      <c r="H485" s="784"/>
      <c r="I485" s="784"/>
      <c r="J485" s="784"/>
      <c r="K485" s="784"/>
      <c r="L485" s="784"/>
      <c r="M485" s="784"/>
      <c r="N485" s="784"/>
      <c r="O485" s="784"/>
      <c r="P485" s="784"/>
      <c r="Q485" s="784"/>
      <c r="R485" s="784"/>
      <c r="S485" s="784"/>
      <c r="T485" s="785"/>
      <c r="U485" s="784"/>
      <c r="V485" s="784"/>
      <c r="W485" s="784"/>
      <c r="X485" s="784"/>
      <c r="Y485" s="784"/>
      <c r="Z485" s="784"/>
      <c r="AA485" s="784"/>
      <c r="AB485" s="784"/>
      <c r="AC485" s="784"/>
      <c r="AD485" s="784"/>
      <c r="AE485" s="784"/>
      <c r="AF485" s="784"/>
      <c r="AG485" s="784"/>
      <c r="AH485" s="784"/>
      <c r="AI485" s="784"/>
      <c r="AJ485" s="784"/>
      <c r="AK485" s="784"/>
      <c r="AL485" s="784"/>
      <c r="AM485" s="784"/>
      <c r="AN485" s="784"/>
      <c r="AO485" s="784"/>
      <c r="AP485" s="784"/>
      <c r="AQ485" s="784"/>
      <c r="AR485" s="784"/>
      <c r="AS485" s="784"/>
      <c r="AT485" s="784"/>
      <c r="AU485" s="784"/>
      <c r="AV485" s="784"/>
      <c r="AW485" s="784"/>
      <c r="AX485" s="784"/>
      <c r="AY485" s="784"/>
      <c r="AZ485" s="784"/>
      <c r="BA485" s="784"/>
      <c r="BB485" s="784"/>
      <c r="BC485" s="784"/>
      <c r="BD485" s="784"/>
      <c r="BE485" s="784"/>
      <c r="BF485" s="784"/>
      <c r="BG485" s="784"/>
      <c r="BH485" s="784"/>
      <c r="BI485" s="784"/>
      <c r="BJ485" s="784"/>
      <c r="BK485" s="784"/>
      <c r="BL485" s="784"/>
      <c r="BM485" s="784"/>
      <c r="BN485" s="784"/>
      <c r="BO485" s="784"/>
      <c r="BP485" s="784"/>
      <c r="BQ485" s="784"/>
      <c r="BR485" s="784"/>
      <c r="BS485" s="784"/>
      <c r="BT485" s="784"/>
      <c r="BU485" s="784"/>
      <c r="BV485" s="784"/>
      <c r="BW485" s="784"/>
      <c r="BX485" s="784"/>
      <c r="BY485" s="784"/>
      <c r="BZ485" s="784"/>
    </row>
    <row r="486" spans="1:78" ht="14.25">
      <c r="A486" s="784"/>
      <c r="B486" s="784"/>
      <c r="C486" s="784"/>
      <c r="D486" s="784"/>
      <c r="E486" s="784"/>
      <c r="F486" s="784"/>
      <c r="G486" s="784"/>
      <c r="H486" s="784"/>
      <c r="I486" s="784"/>
      <c r="J486" s="784"/>
      <c r="K486" s="784"/>
      <c r="L486" s="784"/>
      <c r="M486" s="784"/>
      <c r="N486" s="784"/>
      <c r="O486" s="784"/>
      <c r="P486" s="784"/>
      <c r="Q486" s="784"/>
      <c r="R486" s="784"/>
      <c r="S486" s="784"/>
      <c r="T486" s="785"/>
      <c r="U486" s="784"/>
      <c r="V486" s="784"/>
      <c r="W486" s="784"/>
      <c r="X486" s="784"/>
      <c r="Y486" s="784"/>
      <c r="Z486" s="784"/>
      <c r="AA486" s="784"/>
      <c r="AB486" s="784"/>
      <c r="AC486" s="784"/>
      <c r="AD486" s="784"/>
      <c r="AE486" s="784"/>
      <c r="AF486" s="784"/>
      <c r="AG486" s="784"/>
      <c r="AH486" s="784"/>
      <c r="AI486" s="784"/>
      <c r="AJ486" s="784"/>
      <c r="AK486" s="784"/>
      <c r="AL486" s="784"/>
      <c r="AM486" s="784"/>
      <c r="AN486" s="784"/>
      <c r="AO486" s="784"/>
      <c r="AP486" s="784"/>
      <c r="AQ486" s="784"/>
      <c r="AR486" s="784"/>
      <c r="AS486" s="784"/>
      <c r="AT486" s="784"/>
      <c r="AU486" s="784"/>
      <c r="AV486" s="784"/>
      <c r="AW486" s="784"/>
      <c r="AX486" s="784"/>
      <c r="AY486" s="784"/>
      <c r="AZ486" s="784"/>
      <c r="BA486" s="784"/>
      <c r="BB486" s="784"/>
      <c r="BC486" s="784"/>
      <c r="BD486" s="784"/>
      <c r="BE486" s="784"/>
      <c r="BF486" s="784"/>
      <c r="BG486" s="784"/>
      <c r="BH486" s="784"/>
      <c r="BI486" s="784"/>
      <c r="BJ486" s="784"/>
      <c r="BK486" s="784"/>
      <c r="BL486" s="784"/>
      <c r="BM486" s="784"/>
      <c r="BN486" s="784"/>
      <c r="BO486" s="784"/>
      <c r="BP486" s="784"/>
      <c r="BQ486" s="784"/>
      <c r="BR486" s="784"/>
      <c r="BS486" s="784"/>
      <c r="BT486" s="784"/>
      <c r="BU486" s="784"/>
      <c r="BV486" s="784"/>
      <c r="BW486" s="784"/>
      <c r="BX486" s="784"/>
      <c r="BY486" s="784"/>
      <c r="BZ486" s="784"/>
    </row>
    <row r="487" spans="1:78" ht="14.25">
      <c r="A487" s="784"/>
      <c r="B487" s="784"/>
      <c r="C487" s="784"/>
      <c r="D487" s="784"/>
      <c r="E487" s="784"/>
      <c r="F487" s="784"/>
      <c r="G487" s="784"/>
      <c r="H487" s="784"/>
      <c r="I487" s="784"/>
      <c r="J487" s="784"/>
      <c r="K487" s="784"/>
      <c r="L487" s="784"/>
      <c r="M487" s="784"/>
      <c r="N487" s="784"/>
      <c r="O487" s="784"/>
      <c r="P487" s="784"/>
      <c r="Q487" s="784"/>
      <c r="R487" s="784"/>
      <c r="S487" s="784"/>
      <c r="T487" s="785"/>
      <c r="U487" s="784"/>
      <c r="V487" s="784"/>
      <c r="W487" s="784"/>
      <c r="X487" s="784"/>
      <c r="Y487" s="784"/>
      <c r="Z487" s="784"/>
      <c r="AA487" s="784"/>
      <c r="AB487" s="784"/>
      <c r="AC487" s="784"/>
      <c r="AD487" s="784"/>
      <c r="AE487" s="784"/>
      <c r="AF487" s="784"/>
      <c r="AG487" s="784"/>
      <c r="AH487" s="784"/>
      <c r="AI487" s="784"/>
      <c r="AJ487" s="784"/>
      <c r="AK487" s="784"/>
      <c r="AL487" s="784"/>
      <c r="AM487" s="784"/>
      <c r="AN487" s="784"/>
      <c r="AO487" s="784"/>
      <c r="AP487" s="784"/>
      <c r="AQ487" s="784"/>
      <c r="AR487" s="784"/>
      <c r="AS487" s="784"/>
      <c r="AT487" s="784"/>
      <c r="AU487" s="784"/>
      <c r="AV487" s="784"/>
      <c r="AW487" s="784"/>
      <c r="AX487" s="784"/>
      <c r="AY487" s="784"/>
      <c r="AZ487" s="784"/>
      <c r="BA487" s="784"/>
      <c r="BB487" s="784"/>
      <c r="BC487" s="784"/>
      <c r="BD487" s="784"/>
      <c r="BE487" s="784"/>
      <c r="BF487" s="784"/>
      <c r="BG487" s="784"/>
      <c r="BH487" s="784"/>
      <c r="BI487" s="784"/>
      <c r="BJ487" s="784"/>
      <c r="BK487" s="784"/>
      <c r="BL487" s="784"/>
      <c r="BM487" s="784"/>
      <c r="BN487" s="784"/>
      <c r="BO487" s="784"/>
      <c r="BP487" s="784"/>
      <c r="BQ487" s="784"/>
      <c r="BR487" s="784"/>
      <c r="BS487" s="784"/>
      <c r="BT487" s="784"/>
      <c r="BU487" s="784"/>
      <c r="BV487" s="784"/>
      <c r="BW487" s="784"/>
      <c r="BX487" s="784"/>
      <c r="BY487" s="784"/>
      <c r="BZ487" s="784"/>
    </row>
    <row r="488" spans="1:78" ht="14.25">
      <c r="A488" s="784"/>
      <c r="B488" s="784"/>
      <c r="C488" s="784"/>
      <c r="D488" s="784"/>
      <c r="E488" s="784"/>
      <c r="F488" s="784"/>
      <c r="G488" s="784"/>
      <c r="H488" s="784"/>
      <c r="I488" s="784"/>
      <c r="J488" s="784"/>
      <c r="K488" s="784"/>
      <c r="L488" s="784"/>
      <c r="M488" s="784"/>
      <c r="N488" s="784"/>
      <c r="O488" s="784"/>
      <c r="P488" s="784"/>
      <c r="Q488" s="784"/>
      <c r="R488" s="784"/>
      <c r="S488" s="784"/>
      <c r="T488" s="785"/>
      <c r="U488" s="784"/>
      <c r="V488" s="784"/>
      <c r="W488" s="784"/>
      <c r="X488" s="784"/>
      <c r="Y488" s="784"/>
      <c r="Z488" s="784"/>
      <c r="AA488" s="784"/>
      <c r="AB488" s="784"/>
      <c r="AC488" s="784"/>
      <c r="AD488" s="784"/>
      <c r="AE488" s="784"/>
      <c r="AF488" s="784"/>
      <c r="AG488" s="784"/>
      <c r="AH488" s="784"/>
      <c r="AI488" s="784"/>
      <c r="AJ488" s="784"/>
      <c r="AK488" s="784"/>
      <c r="AL488" s="784"/>
      <c r="AM488" s="784"/>
      <c r="AN488" s="784"/>
      <c r="AO488" s="784"/>
      <c r="AP488" s="784"/>
      <c r="AQ488" s="784"/>
      <c r="AR488" s="784"/>
      <c r="AS488" s="784"/>
      <c r="AT488" s="784"/>
      <c r="AU488" s="784"/>
      <c r="AV488" s="784"/>
      <c r="AW488" s="784"/>
      <c r="AX488" s="784"/>
      <c r="AY488" s="784"/>
      <c r="AZ488" s="784"/>
      <c r="BA488" s="784"/>
      <c r="BB488" s="784"/>
      <c r="BC488" s="784"/>
      <c r="BD488" s="784"/>
      <c r="BE488" s="784"/>
      <c r="BF488" s="784"/>
      <c r="BG488" s="784"/>
      <c r="BH488" s="784"/>
      <c r="BI488" s="784"/>
      <c r="BJ488" s="784"/>
      <c r="BK488" s="784"/>
      <c r="BL488" s="784"/>
      <c r="BM488" s="784"/>
      <c r="BN488" s="784"/>
      <c r="BO488" s="784"/>
      <c r="BP488" s="784"/>
      <c r="BQ488" s="784"/>
      <c r="BR488" s="784"/>
      <c r="BS488" s="784"/>
      <c r="BT488" s="784"/>
      <c r="BU488" s="784"/>
      <c r="BV488" s="784"/>
      <c r="BW488" s="784"/>
      <c r="BX488" s="784"/>
      <c r="BY488" s="784"/>
      <c r="BZ488" s="784"/>
    </row>
    <row r="489" spans="1:78" ht="14.25">
      <c r="A489" s="784"/>
      <c r="B489" s="784"/>
      <c r="C489" s="784"/>
      <c r="D489" s="784"/>
      <c r="E489" s="784"/>
      <c r="F489" s="784"/>
      <c r="G489" s="784"/>
      <c r="H489" s="784"/>
      <c r="I489" s="784"/>
      <c r="J489" s="784"/>
      <c r="K489" s="784"/>
      <c r="L489" s="784"/>
      <c r="M489" s="784"/>
      <c r="N489" s="784"/>
      <c r="O489" s="784"/>
      <c r="P489" s="784"/>
      <c r="Q489" s="784"/>
      <c r="R489" s="784"/>
      <c r="S489" s="784"/>
      <c r="T489" s="785"/>
      <c r="U489" s="784"/>
      <c r="V489" s="784"/>
      <c r="W489" s="784"/>
      <c r="X489" s="784"/>
      <c r="Y489" s="784"/>
      <c r="Z489" s="784"/>
      <c r="AA489" s="784"/>
      <c r="AB489" s="784"/>
      <c r="AC489" s="784"/>
      <c r="AD489" s="784"/>
      <c r="AE489" s="784"/>
      <c r="AF489" s="784"/>
      <c r="AG489" s="784"/>
      <c r="AH489" s="784"/>
      <c r="AI489" s="784"/>
      <c r="AJ489" s="784"/>
      <c r="AK489" s="784"/>
      <c r="AL489" s="784"/>
      <c r="AM489" s="784"/>
      <c r="AN489" s="784"/>
      <c r="AO489" s="784"/>
      <c r="AP489" s="784"/>
      <c r="AQ489" s="784"/>
      <c r="AR489" s="784"/>
      <c r="AS489" s="784"/>
      <c r="AT489" s="784"/>
      <c r="AU489" s="784"/>
      <c r="AV489" s="784"/>
      <c r="AW489" s="784"/>
      <c r="AX489" s="784"/>
      <c r="AY489" s="784"/>
      <c r="AZ489" s="784"/>
      <c r="BA489" s="784"/>
      <c r="BB489" s="784"/>
      <c r="BC489" s="784"/>
      <c r="BD489" s="784"/>
      <c r="BE489" s="784"/>
      <c r="BF489" s="784"/>
      <c r="BG489" s="784"/>
      <c r="BH489" s="784"/>
      <c r="BI489" s="784"/>
      <c r="BJ489" s="784"/>
      <c r="BK489" s="784"/>
      <c r="BL489" s="784"/>
      <c r="BM489" s="784"/>
      <c r="BN489" s="784"/>
      <c r="BO489" s="784"/>
      <c r="BP489" s="784"/>
      <c r="BQ489" s="784"/>
      <c r="BR489" s="784"/>
      <c r="BS489" s="784"/>
      <c r="BT489" s="784"/>
      <c r="BU489" s="784"/>
      <c r="BV489" s="784"/>
      <c r="BW489" s="784"/>
      <c r="BX489" s="784"/>
      <c r="BY489" s="784"/>
      <c r="BZ489" s="784"/>
    </row>
    <row r="490" spans="1:78" ht="14.25">
      <c r="A490" s="784"/>
      <c r="B490" s="784"/>
      <c r="C490" s="784"/>
      <c r="D490" s="784"/>
      <c r="E490" s="784"/>
      <c r="F490" s="784"/>
      <c r="G490" s="784"/>
      <c r="H490" s="784"/>
      <c r="I490" s="784"/>
      <c r="J490" s="784"/>
      <c r="K490" s="784"/>
      <c r="L490" s="784"/>
      <c r="M490" s="784"/>
      <c r="N490" s="784"/>
      <c r="O490" s="784"/>
      <c r="P490" s="784"/>
      <c r="Q490" s="784"/>
      <c r="R490" s="784"/>
      <c r="S490" s="784"/>
      <c r="T490" s="785"/>
      <c r="U490" s="784"/>
      <c r="V490" s="784"/>
      <c r="W490" s="784"/>
      <c r="X490" s="784"/>
      <c r="Y490" s="784"/>
      <c r="Z490" s="784"/>
      <c r="AA490" s="784"/>
      <c r="AB490" s="784"/>
      <c r="AC490" s="784"/>
      <c r="AD490" s="784"/>
      <c r="AE490" s="784"/>
      <c r="AF490" s="784"/>
      <c r="AG490" s="784"/>
      <c r="AH490" s="784"/>
      <c r="AI490" s="784"/>
      <c r="AJ490" s="784"/>
      <c r="AK490" s="784"/>
      <c r="AL490" s="784"/>
      <c r="AM490" s="784"/>
      <c r="AN490" s="784"/>
      <c r="AO490" s="784"/>
      <c r="AP490" s="784"/>
      <c r="AQ490" s="784"/>
      <c r="AR490" s="784"/>
      <c r="AS490" s="784"/>
      <c r="AT490" s="784"/>
      <c r="AU490" s="784"/>
      <c r="AV490" s="784"/>
      <c r="AW490" s="784"/>
      <c r="AX490" s="784"/>
      <c r="AY490" s="784"/>
      <c r="AZ490" s="784"/>
      <c r="BA490" s="784"/>
      <c r="BB490" s="784"/>
      <c r="BC490" s="784"/>
      <c r="BD490" s="784"/>
      <c r="BE490" s="784"/>
      <c r="BF490" s="784"/>
      <c r="BG490" s="784"/>
      <c r="BH490" s="784"/>
      <c r="BI490" s="784"/>
      <c r="BJ490" s="784"/>
      <c r="BK490" s="784"/>
      <c r="BL490" s="784"/>
      <c r="BM490" s="784"/>
      <c r="BN490" s="784"/>
      <c r="BO490" s="784"/>
      <c r="BP490" s="784"/>
      <c r="BQ490" s="784"/>
      <c r="BR490" s="784"/>
      <c r="BS490" s="784"/>
      <c r="BT490" s="784"/>
      <c r="BU490" s="784"/>
      <c r="BV490" s="784"/>
      <c r="BW490" s="784"/>
      <c r="BX490" s="784"/>
      <c r="BY490" s="784"/>
      <c r="BZ490" s="784"/>
    </row>
    <row r="491" spans="1:78" ht="14.25">
      <c r="A491" s="784"/>
      <c r="B491" s="784"/>
      <c r="C491" s="784"/>
      <c r="D491" s="784"/>
      <c r="E491" s="784"/>
      <c r="F491" s="784"/>
      <c r="G491" s="784"/>
      <c r="H491" s="784"/>
      <c r="I491" s="784"/>
      <c r="J491" s="784"/>
      <c r="K491" s="784"/>
      <c r="L491" s="784"/>
      <c r="M491" s="784"/>
      <c r="N491" s="784"/>
      <c r="O491" s="784"/>
      <c r="P491" s="784"/>
      <c r="Q491" s="784"/>
      <c r="R491" s="784"/>
      <c r="S491" s="784"/>
      <c r="T491" s="785"/>
      <c r="U491" s="784"/>
      <c r="V491" s="784"/>
      <c r="W491" s="784"/>
      <c r="X491" s="784"/>
      <c r="Y491" s="784"/>
      <c r="Z491" s="784"/>
      <c r="AA491" s="784"/>
      <c r="AB491" s="784"/>
      <c r="AC491" s="784"/>
      <c r="AD491" s="784"/>
      <c r="AE491" s="784"/>
      <c r="AF491" s="784"/>
      <c r="AG491" s="784"/>
      <c r="AH491" s="784"/>
      <c r="AI491" s="784"/>
      <c r="AJ491" s="784"/>
      <c r="AK491" s="784"/>
      <c r="AL491" s="784"/>
      <c r="AM491" s="784"/>
      <c r="AN491" s="784"/>
      <c r="AO491" s="784"/>
      <c r="AP491" s="784"/>
      <c r="AQ491" s="784"/>
      <c r="AR491" s="784"/>
      <c r="AS491" s="784"/>
      <c r="AT491" s="784"/>
      <c r="AU491" s="784"/>
      <c r="AV491" s="784"/>
      <c r="AW491" s="784"/>
      <c r="AX491" s="784"/>
      <c r="AY491" s="784"/>
      <c r="AZ491" s="784"/>
      <c r="BA491" s="784"/>
      <c r="BB491" s="784"/>
      <c r="BC491" s="784"/>
      <c r="BD491" s="784"/>
      <c r="BE491" s="784"/>
      <c r="BF491" s="784"/>
      <c r="BG491" s="784"/>
      <c r="BH491" s="784"/>
      <c r="BI491" s="784"/>
      <c r="BJ491" s="784"/>
      <c r="BK491" s="784"/>
      <c r="BL491" s="784"/>
      <c r="BM491" s="784"/>
      <c r="BN491" s="784"/>
      <c r="BO491" s="784"/>
      <c r="BP491" s="784"/>
      <c r="BQ491" s="784"/>
      <c r="BR491" s="784"/>
      <c r="BS491" s="784"/>
      <c r="BT491" s="784"/>
      <c r="BU491" s="784"/>
      <c r="BV491" s="784"/>
      <c r="BW491" s="784"/>
      <c r="BX491" s="784"/>
      <c r="BY491" s="784"/>
      <c r="BZ491" s="784"/>
    </row>
    <row r="492" spans="1:78" ht="14.25">
      <c r="A492" s="784"/>
      <c r="B492" s="784"/>
      <c r="C492" s="784"/>
      <c r="D492" s="784"/>
      <c r="E492" s="784"/>
      <c r="F492" s="784"/>
      <c r="G492" s="784"/>
      <c r="H492" s="784"/>
      <c r="I492" s="784"/>
      <c r="J492" s="784"/>
      <c r="K492" s="784"/>
      <c r="L492" s="784"/>
      <c r="M492" s="784"/>
      <c r="N492" s="784"/>
      <c r="O492" s="784"/>
      <c r="P492" s="784"/>
      <c r="Q492" s="784"/>
      <c r="R492" s="784"/>
      <c r="S492" s="784"/>
      <c r="T492" s="785"/>
      <c r="U492" s="784"/>
      <c r="V492" s="784"/>
      <c r="W492" s="784"/>
      <c r="X492" s="784"/>
      <c r="Y492" s="784"/>
      <c r="Z492" s="784"/>
      <c r="AA492" s="784"/>
      <c r="AB492" s="784"/>
      <c r="AC492" s="784"/>
      <c r="AD492" s="784"/>
      <c r="AE492" s="784"/>
      <c r="AF492" s="784"/>
      <c r="AG492" s="784"/>
      <c r="AH492" s="784"/>
      <c r="AI492" s="784"/>
      <c r="AJ492" s="784"/>
      <c r="AK492" s="784"/>
      <c r="AL492" s="784"/>
      <c r="AM492" s="784"/>
      <c r="AN492" s="784"/>
      <c r="AO492" s="784"/>
      <c r="AP492" s="784"/>
      <c r="AQ492" s="784"/>
      <c r="AR492" s="784"/>
      <c r="AS492" s="784"/>
      <c r="AT492" s="784"/>
      <c r="AU492" s="784"/>
      <c r="AV492" s="784"/>
      <c r="AW492" s="784"/>
      <c r="AX492" s="784"/>
      <c r="AY492" s="784"/>
      <c r="AZ492" s="784"/>
      <c r="BA492" s="784"/>
      <c r="BB492" s="784"/>
      <c r="BC492" s="784"/>
      <c r="BD492" s="784"/>
      <c r="BE492" s="784"/>
      <c r="BF492" s="784"/>
      <c r="BG492" s="784"/>
      <c r="BH492" s="784"/>
      <c r="BI492" s="784"/>
      <c r="BJ492" s="784"/>
      <c r="BK492" s="784"/>
      <c r="BL492" s="784"/>
      <c r="BM492" s="784"/>
      <c r="BN492" s="784"/>
      <c r="BO492" s="784"/>
      <c r="BP492" s="784"/>
      <c r="BQ492" s="784"/>
      <c r="BR492" s="784"/>
      <c r="BS492" s="784"/>
      <c r="BT492" s="784"/>
      <c r="BU492" s="784"/>
      <c r="BV492" s="784"/>
      <c r="BW492" s="784"/>
      <c r="BX492" s="784"/>
      <c r="BY492" s="784"/>
      <c r="BZ492" s="784"/>
    </row>
    <row r="493" spans="1:78" ht="14.25">
      <c r="A493" s="784"/>
      <c r="B493" s="784"/>
      <c r="C493" s="784"/>
      <c r="D493" s="784"/>
      <c r="E493" s="784"/>
      <c r="F493" s="784"/>
      <c r="G493" s="784"/>
      <c r="H493" s="784"/>
      <c r="I493" s="784"/>
      <c r="J493" s="784"/>
      <c r="K493" s="784"/>
      <c r="L493" s="784"/>
      <c r="M493" s="784"/>
      <c r="N493" s="784"/>
      <c r="O493" s="784"/>
      <c r="P493" s="784"/>
      <c r="Q493" s="784"/>
      <c r="R493" s="784"/>
      <c r="S493" s="784"/>
      <c r="T493" s="785"/>
      <c r="U493" s="784"/>
      <c r="V493" s="784"/>
      <c r="W493" s="784"/>
      <c r="X493" s="784"/>
      <c r="Y493" s="784"/>
      <c r="Z493" s="784"/>
      <c r="AA493" s="784"/>
      <c r="AB493" s="784"/>
      <c r="AC493" s="784"/>
      <c r="AD493" s="784"/>
      <c r="AE493" s="784"/>
      <c r="AF493" s="784"/>
      <c r="AG493" s="784"/>
      <c r="AH493" s="784"/>
      <c r="AI493" s="784"/>
      <c r="AJ493" s="784"/>
      <c r="AK493" s="784"/>
      <c r="AL493" s="784"/>
      <c r="AM493" s="784"/>
      <c r="AN493" s="784"/>
      <c r="AO493" s="784"/>
      <c r="AP493" s="784"/>
      <c r="AQ493" s="784"/>
      <c r="AR493" s="784"/>
      <c r="AS493" s="784"/>
      <c r="AT493" s="784"/>
      <c r="AU493" s="784"/>
      <c r="AV493" s="784"/>
      <c r="AW493" s="784"/>
      <c r="AX493" s="784"/>
      <c r="AY493" s="784"/>
      <c r="AZ493" s="784"/>
      <c r="BA493" s="784"/>
      <c r="BB493" s="784"/>
      <c r="BC493" s="784"/>
      <c r="BD493" s="784"/>
      <c r="BE493" s="784"/>
      <c r="BF493" s="784"/>
      <c r="BG493" s="784"/>
      <c r="BH493" s="784"/>
      <c r="BI493" s="784"/>
      <c r="BJ493" s="784"/>
      <c r="BK493" s="784"/>
      <c r="BL493" s="784"/>
      <c r="BM493" s="784"/>
      <c r="BN493" s="784"/>
      <c r="BO493" s="784"/>
      <c r="BP493" s="784"/>
      <c r="BQ493" s="784"/>
      <c r="BR493" s="784"/>
      <c r="BS493" s="784"/>
      <c r="BT493" s="784"/>
      <c r="BU493" s="784"/>
      <c r="BV493" s="784"/>
      <c r="BW493" s="784"/>
      <c r="BX493" s="784"/>
      <c r="BY493" s="784"/>
      <c r="BZ493" s="784"/>
    </row>
    <row r="494" spans="1:78" ht="14.25">
      <c r="A494" s="784"/>
      <c r="B494" s="784"/>
      <c r="C494" s="784"/>
      <c r="D494" s="784"/>
      <c r="E494" s="784"/>
      <c r="F494" s="784"/>
      <c r="G494" s="784"/>
      <c r="H494" s="784"/>
      <c r="I494" s="784"/>
      <c r="J494" s="784"/>
      <c r="K494" s="784"/>
      <c r="L494" s="784"/>
      <c r="M494" s="784"/>
      <c r="N494" s="784"/>
      <c r="O494" s="784"/>
      <c r="P494" s="784"/>
      <c r="Q494" s="784"/>
      <c r="R494" s="784"/>
      <c r="S494" s="784"/>
      <c r="T494" s="785"/>
      <c r="U494" s="784"/>
      <c r="V494" s="784"/>
      <c r="W494" s="784"/>
      <c r="X494" s="784"/>
      <c r="Y494" s="784"/>
      <c r="Z494" s="784"/>
      <c r="AA494" s="784"/>
      <c r="AB494" s="784"/>
      <c r="AC494" s="784"/>
      <c r="AD494" s="784"/>
      <c r="AE494" s="784"/>
      <c r="AF494" s="784"/>
      <c r="AG494" s="784"/>
      <c r="AH494" s="784"/>
      <c r="AI494" s="784"/>
      <c r="AJ494" s="784"/>
      <c r="AK494" s="784"/>
      <c r="AL494" s="784"/>
      <c r="AM494" s="784"/>
      <c r="AN494" s="784"/>
      <c r="AO494" s="784"/>
      <c r="AP494" s="784"/>
      <c r="AQ494" s="784"/>
      <c r="AR494" s="784"/>
      <c r="AS494" s="784"/>
      <c r="AT494" s="784"/>
      <c r="AU494" s="784"/>
      <c r="AV494" s="784"/>
      <c r="AW494" s="784"/>
      <c r="AX494" s="784"/>
      <c r="AY494" s="784"/>
      <c r="AZ494" s="784"/>
      <c r="BA494" s="784"/>
      <c r="BB494" s="784"/>
      <c r="BC494" s="784"/>
      <c r="BD494" s="784"/>
      <c r="BE494" s="784"/>
      <c r="BF494" s="784"/>
      <c r="BG494" s="784"/>
      <c r="BH494" s="784"/>
      <c r="BI494" s="784"/>
      <c r="BJ494" s="784"/>
      <c r="BK494" s="784"/>
      <c r="BL494" s="784"/>
      <c r="BM494" s="784"/>
      <c r="BN494" s="784"/>
      <c r="BO494" s="784"/>
      <c r="BP494" s="784"/>
      <c r="BQ494" s="784"/>
      <c r="BR494" s="784"/>
      <c r="BS494" s="784"/>
      <c r="BT494" s="784"/>
      <c r="BU494" s="784"/>
      <c r="BV494" s="784"/>
      <c r="BW494" s="784"/>
      <c r="BX494" s="784"/>
      <c r="BY494" s="784"/>
      <c r="BZ494" s="784"/>
    </row>
    <row r="495" spans="1:78" ht="14.25">
      <c r="A495" s="784"/>
      <c r="B495" s="784"/>
      <c r="C495" s="784"/>
      <c r="D495" s="784"/>
      <c r="E495" s="784"/>
      <c r="F495" s="784"/>
      <c r="G495" s="784"/>
      <c r="H495" s="784"/>
      <c r="I495" s="784"/>
      <c r="J495" s="784"/>
      <c r="K495" s="784"/>
      <c r="L495" s="784"/>
      <c r="M495" s="784"/>
      <c r="N495" s="784"/>
      <c r="O495" s="784"/>
      <c r="P495" s="784"/>
      <c r="Q495" s="784"/>
      <c r="R495" s="784"/>
      <c r="S495" s="784"/>
      <c r="T495" s="785"/>
      <c r="U495" s="784"/>
      <c r="V495" s="784"/>
      <c r="W495" s="784"/>
      <c r="X495" s="784"/>
      <c r="Y495" s="784"/>
      <c r="Z495" s="784"/>
      <c r="AA495" s="784"/>
      <c r="AB495" s="784"/>
      <c r="AC495" s="784"/>
      <c r="AD495" s="784"/>
      <c r="AE495" s="784"/>
      <c r="AF495" s="784"/>
      <c r="AG495" s="784"/>
      <c r="AH495" s="784"/>
      <c r="AI495" s="784"/>
      <c r="AJ495" s="784"/>
      <c r="AK495" s="784"/>
      <c r="AL495" s="784"/>
      <c r="AM495" s="784"/>
      <c r="AN495" s="784"/>
      <c r="AO495" s="784"/>
      <c r="AP495" s="784"/>
      <c r="AQ495" s="784"/>
      <c r="AR495" s="784"/>
      <c r="AS495" s="784"/>
      <c r="AT495" s="784"/>
      <c r="AU495" s="784"/>
      <c r="AV495" s="784"/>
      <c r="AW495" s="784"/>
      <c r="AX495" s="784"/>
      <c r="AY495" s="784"/>
      <c r="AZ495" s="784"/>
      <c r="BA495" s="784"/>
      <c r="BB495" s="784"/>
      <c r="BC495" s="784"/>
      <c r="BD495" s="784"/>
      <c r="BE495" s="784"/>
      <c r="BF495" s="784"/>
      <c r="BG495" s="784"/>
      <c r="BH495" s="784"/>
      <c r="BI495" s="784"/>
      <c r="BJ495" s="784"/>
      <c r="BK495" s="784"/>
      <c r="BL495" s="784"/>
      <c r="BM495" s="784"/>
      <c r="BN495" s="784"/>
      <c r="BO495" s="784"/>
      <c r="BP495" s="784"/>
      <c r="BQ495" s="784"/>
      <c r="BR495" s="784"/>
      <c r="BS495" s="784"/>
      <c r="BT495" s="784"/>
      <c r="BU495" s="784"/>
      <c r="BV495" s="784"/>
      <c r="BW495" s="784"/>
      <c r="BX495" s="784"/>
      <c r="BY495" s="784"/>
      <c r="BZ495" s="784"/>
    </row>
    <row r="496" spans="1:78" ht="14.25">
      <c r="A496" s="784"/>
      <c r="B496" s="784"/>
      <c r="C496" s="784"/>
      <c r="D496" s="784"/>
      <c r="E496" s="784"/>
      <c r="F496" s="784"/>
      <c r="G496" s="784"/>
      <c r="H496" s="784"/>
      <c r="I496" s="784"/>
      <c r="J496" s="784"/>
      <c r="K496" s="784"/>
      <c r="L496" s="784"/>
      <c r="M496" s="784"/>
      <c r="N496" s="784"/>
      <c r="O496" s="784"/>
      <c r="P496" s="784"/>
      <c r="Q496" s="784"/>
      <c r="R496" s="784"/>
      <c r="S496" s="784"/>
      <c r="T496" s="785"/>
      <c r="U496" s="784"/>
      <c r="V496" s="784"/>
      <c r="W496" s="784"/>
      <c r="X496" s="784"/>
      <c r="Y496" s="784"/>
      <c r="Z496" s="784"/>
      <c r="AA496" s="784"/>
      <c r="AB496" s="784"/>
      <c r="AC496" s="784"/>
      <c r="AD496" s="784"/>
      <c r="AE496" s="784"/>
      <c r="AF496" s="784"/>
      <c r="AG496" s="784"/>
      <c r="AH496" s="784"/>
      <c r="AI496" s="784"/>
      <c r="AJ496" s="784"/>
      <c r="AK496" s="784"/>
      <c r="AL496" s="784"/>
      <c r="AM496" s="784"/>
      <c r="AN496" s="784"/>
      <c r="AO496" s="784"/>
      <c r="AP496" s="784"/>
      <c r="AQ496" s="784"/>
      <c r="AR496" s="784"/>
      <c r="AS496" s="784"/>
      <c r="AT496" s="784"/>
      <c r="AU496" s="784"/>
      <c r="AV496" s="784"/>
      <c r="AW496" s="784"/>
      <c r="AX496" s="784"/>
      <c r="AY496" s="784"/>
      <c r="AZ496" s="784"/>
      <c r="BA496" s="784"/>
      <c r="BB496" s="784"/>
      <c r="BC496" s="784"/>
      <c r="BD496" s="784"/>
      <c r="BE496" s="784"/>
      <c r="BF496" s="784"/>
      <c r="BG496" s="784"/>
      <c r="BH496" s="784"/>
      <c r="BI496" s="784"/>
      <c r="BJ496" s="784"/>
      <c r="BK496" s="784"/>
      <c r="BL496" s="784"/>
      <c r="BM496" s="784"/>
      <c r="BN496" s="784"/>
      <c r="BO496" s="784"/>
      <c r="BP496" s="784"/>
      <c r="BQ496" s="784"/>
      <c r="BR496" s="784"/>
      <c r="BS496" s="784"/>
      <c r="BT496" s="784"/>
      <c r="BU496" s="784"/>
      <c r="BV496" s="784"/>
      <c r="BW496" s="784"/>
      <c r="BX496" s="784"/>
      <c r="BY496" s="784"/>
      <c r="BZ496" s="784"/>
    </row>
    <row r="497" spans="1:78" ht="14.25">
      <c r="A497" s="784"/>
      <c r="B497" s="784"/>
      <c r="C497" s="784"/>
      <c r="D497" s="784"/>
      <c r="E497" s="784"/>
      <c r="F497" s="784"/>
      <c r="G497" s="784"/>
      <c r="H497" s="784"/>
      <c r="I497" s="784"/>
      <c r="J497" s="784"/>
      <c r="K497" s="784"/>
      <c r="L497" s="784"/>
      <c r="M497" s="784"/>
      <c r="N497" s="784"/>
      <c r="O497" s="784"/>
      <c r="P497" s="784"/>
      <c r="Q497" s="784"/>
      <c r="R497" s="784"/>
      <c r="S497" s="784"/>
      <c r="T497" s="785"/>
      <c r="U497" s="784"/>
      <c r="V497" s="784"/>
      <c r="W497" s="784"/>
      <c r="X497" s="784"/>
      <c r="Y497" s="784"/>
      <c r="Z497" s="784"/>
      <c r="AA497" s="784"/>
      <c r="AB497" s="784"/>
      <c r="AC497" s="784"/>
      <c r="AD497" s="784"/>
      <c r="AE497" s="784"/>
      <c r="AF497" s="784"/>
      <c r="AG497" s="784"/>
      <c r="AH497" s="784"/>
      <c r="AI497" s="784"/>
      <c r="AJ497" s="784"/>
      <c r="AK497" s="784"/>
      <c r="AL497" s="784"/>
      <c r="AM497" s="784"/>
      <c r="AN497" s="784"/>
      <c r="AO497" s="784"/>
      <c r="AP497" s="784"/>
      <c r="AQ497" s="784"/>
      <c r="AR497" s="784"/>
      <c r="AS497" s="784"/>
      <c r="AT497" s="784"/>
      <c r="AU497" s="784"/>
      <c r="AV497" s="784"/>
      <c r="AW497" s="784"/>
      <c r="AX497" s="784"/>
      <c r="AY497" s="784"/>
      <c r="AZ497" s="784"/>
      <c r="BA497" s="784"/>
      <c r="BB497" s="784"/>
      <c r="BC497" s="784"/>
      <c r="BD497" s="784"/>
      <c r="BE497" s="784"/>
      <c r="BF497" s="784"/>
      <c r="BG497" s="784"/>
      <c r="BH497" s="784"/>
      <c r="BI497" s="784"/>
      <c r="BJ497" s="784"/>
      <c r="BK497" s="784"/>
      <c r="BL497" s="784"/>
      <c r="BM497" s="784"/>
      <c r="BN497" s="784"/>
      <c r="BO497" s="784"/>
      <c r="BP497" s="784"/>
      <c r="BQ497" s="784"/>
      <c r="BR497" s="784"/>
      <c r="BS497" s="784"/>
      <c r="BT497" s="784"/>
      <c r="BU497" s="784"/>
      <c r="BV497" s="784"/>
      <c r="BW497" s="784"/>
      <c r="BX497" s="784"/>
      <c r="BY497" s="784"/>
      <c r="BZ497" s="784"/>
    </row>
    <row r="498" spans="1:78" ht="14.25">
      <c r="A498" s="784"/>
      <c r="B498" s="784"/>
      <c r="C498" s="784"/>
      <c r="D498" s="784"/>
      <c r="E498" s="784"/>
      <c r="F498" s="784"/>
      <c r="G498" s="784"/>
      <c r="H498" s="784"/>
      <c r="I498" s="784"/>
      <c r="J498" s="784"/>
      <c r="K498" s="784"/>
      <c r="L498" s="784"/>
      <c r="M498" s="784"/>
      <c r="N498" s="784"/>
      <c r="O498" s="784"/>
      <c r="P498" s="784"/>
      <c r="Q498" s="784"/>
      <c r="R498" s="784"/>
      <c r="S498" s="784"/>
      <c r="T498" s="785"/>
      <c r="U498" s="784"/>
      <c r="V498" s="784"/>
      <c r="W498" s="784"/>
      <c r="X498" s="784"/>
      <c r="Y498" s="784"/>
      <c r="Z498" s="784"/>
      <c r="AA498" s="784"/>
      <c r="AB498" s="784"/>
      <c r="AC498" s="784"/>
      <c r="AD498" s="784"/>
      <c r="AE498" s="784"/>
      <c r="AF498" s="784"/>
      <c r="AG498" s="784"/>
      <c r="AH498" s="784"/>
      <c r="AI498" s="784"/>
      <c r="AJ498" s="784"/>
      <c r="AK498" s="784"/>
      <c r="AL498" s="784"/>
      <c r="AM498" s="784"/>
      <c r="AN498" s="784"/>
      <c r="AO498" s="784"/>
      <c r="AP498" s="784"/>
      <c r="AQ498" s="784"/>
      <c r="AR498" s="784"/>
      <c r="AS498" s="784"/>
      <c r="AT498" s="784"/>
      <c r="AU498" s="784"/>
      <c r="AV498" s="784"/>
      <c r="AW498" s="784"/>
      <c r="AX498" s="784"/>
      <c r="AY498" s="784"/>
      <c r="AZ498" s="784"/>
      <c r="BA498" s="784"/>
      <c r="BB498" s="784"/>
      <c r="BC498" s="784"/>
      <c r="BD498" s="784"/>
      <c r="BE498" s="784"/>
      <c r="BF498" s="784"/>
      <c r="BG498" s="784"/>
      <c r="BH498" s="784"/>
      <c r="BI498" s="784"/>
      <c r="BJ498" s="784"/>
      <c r="BK498" s="784"/>
      <c r="BL498" s="784"/>
      <c r="BM498" s="784"/>
      <c r="BN498" s="784"/>
      <c r="BO498" s="784"/>
      <c r="BP498" s="784"/>
      <c r="BQ498" s="784"/>
      <c r="BR498" s="784"/>
      <c r="BS498" s="784"/>
      <c r="BT498" s="784"/>
      <c r="BU498" s="784"/>
      <c r="BV498" s="784"/>
      <c r="BW498" s="784"/>
      <c r="BX498" s="784"/>
      <c r="BY498" s="784"/>
      <c r="BZ498" s="784"/>
    </row>
    <row r="499" spans="1:78" ht="14.25">
      <c r="A499" s="784"/>
      <c r="B499" s="784"/>
      <c r="C499" s="784"/>
      <c r="D499" s="784"/>
      <c r="E499" s="784"/>
      <c r="F499" s="784"/>
      <c r="G499" s="784"/>
      <c r="H499" s="784"/>
      <c r="I499" s="784"/>
      <c r="J499" s="784"/>
      <c r="K499" s="784"/>
      <c r="L499" s="784"/>
      <c r="M499" s="784"/>
      <c r="N499" s="784"/>
      <c r="O499" s="784"/>
      <c r="P499" s="784"/>
      <c r="Q499" s="784"/>
      <c r="R499" s="784"/>
      <c r="S499" s="784"/>
      <c r="T499" s="785"/>
      <c r="U499" s="784"/>
      <c r="V499" s="784"/>
      <c r="W499" s="784"/>
      <c r="X499" s="784"/>
      <c r="Y499" s="784"/>
      <c r="Z499" s="784"/>
      <c r="AA499" s="784"/>
      <c r="AB499" s="784"/>
      <c r="AC499" s="784"/>
      <c r="AD499" s="784"/>
      <c r="AE499" s="784"/>
      <c r="AF499" s="784"/>
      <c r="AG499" s="784"/>
      <c r="AH499" s="784"/>
      <c r="AI499" s="784"/>
      <c r="AJ499" s="784"/>
      <c r="AK499" s="784"/>
      <c r="AL499" s="784"/>
      <c r="AM499" s="784"/>
      <c r="AN499" s="784"/>
      <c r="AO499" s="784"/>
      <c r="AP499" s="784"/>
      <c r="AQ499" s="784"/>
      <c r="AR499" s="784"/>
      <c r="AS499" s="784"/>
      <c r="AT499" s="784"/>
      <c r="AU499" s="784"/>
      <c r="AV499" s="784"/>
      <c r="AW499" s="784"/>
      <c r="AX499" s="784"/>
      <c r="AY499" s="784"/>
      <c r="AZ499" s="784"/>
      <c r="BA499" s="784"/>
      <c r="BB499" s="784"/>
      <c r="BC499" s="784"/>
      <c r="BD499" s="784"/>
      <c r="BE499" s="784"/>
      <c r="BF499" s="784"/>
      <c r="BG499" s="784"/>
      <c r="BH499" s="784"/>
      <c r="BI499" s="784"/>
      <c r="BJ499" s="784"/>
      <c r="BK499" s="784"/>
      <c r="BL499" s="784"/>
      <c r="BM499" s="784"/>
      <c r="BN499" s="784"/>
      <c r="BO499" s="784"/>
      <c r="BP499" s="784"/>
      <c r="BQ499" s="784"/>
      <c r="BR499" s="784"/>
      <c r="BS499" s="784"/>
      <c r="BT499" s="784"/>
      <c r="BU499" s="784"/>
      <c r="BV499" s="784"/>
      <c r="BW499" s="784"/>
      <c r="BX499" s="784"/>
      <c r="BY499" s="784"/>
      <c r="BZ499" s="784"/>
    </row>
    <row r="500" spans="1:78" ht="14.25">
      <c r="A500" s="784"/>
      <c r="B500" s="784"/>
      <c r="C500" s="784"/>
      <c r="D500" s="784"/>
      <c r="E500" s="784"/>
      <c r="F500" s="784"/>
      <c r="G500" s="784"/>
      <c r="H500" s="784"/>
      <c r="I500" s="784"/>
      <c r="J500" s="784"/>
      <c r="K500" s="784"/>
      <c r="L500" s="784"/>
      <c r="M500" s="784"/>
      <c r="N500" s="784"/>
      <c r="O500" s="784"/>
      <c r="P500" s="784"/>
      <c r="Q500" s="784"/>
      <c r="R500" s="784"/>
      <c r="S500" s="784"/>
      <c r="T500" s="785"/>
      <c r="U500" s="784"/>
      <c r="V500" s="784"/>
      <c r="W500" s="784"/>
      <c r="X500" s="784"/>
      <c r="Y500" s="784"/>
      <c r="Z500" s="784"/>
      <c r="AA500" s="784"/>
      <c r="AB500" s="784"/>
      <c r="AC500" s="784"/>
      <c r="AD500" s="784"/>
      <c r="AE500" s="784"/>
      <c r="AF500" s="784"/>
      <c r="AG500" s="784"/>
      <c r="AH500" s="784"/>
      <c r="AI500" s="784"/>
      <c r="AJ500" s="784"/>
      <c r="AK500" s="784"/>
      <c r="AL500" s="784"/>
      <c r="AM500" s="784"/>
      <c r="AN500" s="784"/>
      <c r="AO500" s="784"/>
      <c r="AP500" s="784"/>
      <c r="AQ500" s="784"/>
      <c r="AR500" s="784"/>
      <c r="AS500" s="784"/>
      <c r="AT500" s="784"/>
      <c r="AU500" s="784"/>
      <c r="AV500" s="784"/>
      <c r="AW500" s="784"/>
      <c r="AX500" s="784"/>
      <c r="AY500" s="784"/>
      <c r="AZ500" s="784"/>
      <c r="BA500" s="784"/>
      <c r="BB500" s="784"/>
      <c r="BC500" s="784"/>
      <c r="BD500" s="784"/>
      <c r="BE500" s="784"/>
      <c r="BF500" s="784"/>
      <c r="BG500" s="784"/>
      <c r="BH500" s="784"/>
      <c r="BI500" s="784"/>
      <c r="BJ500" s="784"/>
      <c r="BK500" s="784"/>
      <c r="BL500" s="784"/>
      <c r="BM500" s="784"/>
      <c r="BN500" s="784"/>
      <c r="BO500" s="784"/>
      <c r="BP500" s="784"/>
      <c r="BQ500" s="784"/>
      <c r="BR500" s="784"/>
      <c r="BS500" s="784"/>
      <c r="BT500" s="784"/>
      <c r="BU500" s="784"/>
      <c r="BV500" s="784"/>
      <c r="BW500" s="784"/>
      <c r="BX500" s="784"/>
      <c r="BY500" s="784"/>
      <c r="BZ500" s="784"/>
    </row>
  </sheetData>
  <sheetProtection password="DE92" sheet="1" objects="1" scenarios="1" selectLockedCells="1"/>
  <protectedRanges>
    <protectedRange sqref="U29:Z29" name="Range1"/>
    <protectedRange sqref="P12:Q12" name="Range1_4"/>
  </protectedRanges>
  <mergeCells count="148">
    <mergeCell ref="N35:R35"/>
    <mergeCell ref="R30:S34"/>
    <mergeCell ref="H41:I42"/>
    <mergeCell ref="J41:J42"/>
    <mergeCell ref="K41:K42"/>
    <mergeCell ref="L41:M42"/>
    <mergeCell ref="Q36:R36"/>
    <mergeCell ref="N37:P37"/>
    <mergeCell ref="Q37:R37"/>
    <mergeCell ref="N38:P38"/>
    <mergeCell ref="Q38:R38"/>
    <mergeCell ref="N39:P39"/>
    <mergeCell ref="H36:J36"/>
    <mergeCell ref="H37:J37"/>
    <mergeCell ref="K37:M37"/>
    <mergeCell ref="H38:J38"/>
    <mergeCell ref="H39:J39"/>
    <mergeCell ref="Q39:R39"/>
    <mergeCell ref="K36:M36"/>
    <mergeCell ref="H40:M40"/>
    <mergeCell ref="C29:F29"/>
    <mergeCell ref="C30:F30"/>
    <mergeCell ref="G34:H34"/>
    <mergeCell ref="C31:F31"/>
    <mergeCell ref="G31:H31"/>
    <mergeCell ref="G32:H32"/>
    <mergeCell ref="G33:H33"/>
    <mergeCell ref="C35:F35"/>
    <mergeCell ref="J32:Q32"/>
    <mergeCell ref="Q27:R27"/>
    <mergeCell ref="Q28:R28"/>
    <mergeCell ref="M30:O30"/>
    <mergeCell ref="K29:L29"/>
    <mergeCell ref="M29:O29"/>
    <mergeCell ref="G27:H27"/>
    <mergeCell ref="G28:H28"/>
    <mergeCell ref="G29:H29"/>
    <mergeCell ref="G30:H30"/>
    <mergeCell ref="J11:K11"/>
    <mergeCell ref="J13:K13"/>
    <mergeCell ref="E10:H10"/>
    <mergeCell ref="C7:H7"/>
    <mergeCell ref="F8:H8"/>
    <mergeCell ref="C8:D8"/>
    <mergeCell ref="C13:D13"/>
    <mergeCell ref="L5:O6"/>
    <mergeCell ref="R5:S6"/>
    <mergeCell ref="N7:Q8"/>
    <mergeCell ref="J7:L7"/>
    <mergeCell ref="R7:R8"/>
    <mergeCell ref="S7:S8"/>
    <mergeCell ref="J5:K6"/>
    <mergeCell ref="G5:I6"/>
    <mergeCell ref="N17:Q17"/>
    <mergeCell ref="E14:H14"/>
    <mergeCell ref="C16:H16"/>
    <mergeCell ref="F17:H17"/>
    <mergeCell ref="C14:D14"/>
    <mergeCell ref="J14:K14"/>
    <mergeCell ref="C17:E17"/>
    <mergeCell ref="J17:K17"/>
    <mergeCell ref="C12:D12"/>
    <mergeCell ref="R14:R15"/>
    <mergeCell ref="N12:O12"/>
    <mergeCell ref="P12:Q12"/>
    <mergeCell ref="J12:K12"/>
    <mergeCell ref="S14:S15"/>
    <mergeCell ref="N16:Q16"/>
    <mergeCell ref="N13:P13"/>
    <mergeCell ref="J15:K15"/>
    <mergeCell ref="J16:K16"/>
    <mergeCell ref="CJ173:CJ175"/>
    <mergeCell ref="CH173:CH175"/>
    <mergeCell ref="CI173:CI175"/>
    <mergeCell ref="BW170:BX170"/>
    <mergeCell ref="BZ170:CA170"/>
    <mergeCell ref="F19:H19"/>
    <mergeCell ref="F20:H20"/>
    <mergeCell ref="M7:M21"/>
    <mergeCell ref="N15:Q15"/>
    <mergeCell ref="F21:H21"/>
    <mergeCell ref="BN302:BO302"/>
    <mergeCell ref="BG146:BI146"/>
    <mergeCell ref="BK148:BM148"/>
    <mergeCell ref="AU244:AV244"/>
    <mergeCell ref="BN300:BO300"/>
    <mergeCell ref="BD132:BE132"/>
    <mergeCell ref="AW244:AX244"/>
    <mergeCell ref="BN301:BO301"/>
    <mergeCell ref="BD140:BE140"/>
    <mergeCell ref="AQ274:AS274"/>
    <mergeCell ref="AS244:AT244"/>
    <mergeCell ref="J23:K24"/>
    <mergeCell ref="J27:K28"/>
    <mergeCell ref="M31:N31"/>
    <mergeCell ref="L33:M33"/>
    <mergeCell ref="L34:M34"/>
    <mergeCell ref="M25:N26"/>
    <mergeCell ref="M27:N28"/>
    <mergeCell ref="K30:L30"/>
    <mergeCell ref="R18:S18"/>
    <mergeCell ref="R19:S19"/>
    <mergeCell ref="Q24:R24"/>
    <mergeCell ref="G24:H24"/>
    <mergeCell ref="Q23:R23"/>
    <mergeCell ref="C18:E18"/>
    <mergeCell ref="J18:K18"/>
    <mergeCell ref="F18:H18"/>
    <mergeCell ref="C19:E19"/>
    <mergeCell ref="C21:E21"/>
    <mergeCell ref="G26:H26"/>
    <mergeCell ref="C15:F15"/>
    <mergeCell ref="C22:E22"/>
    <mergeCell ref="E9:H9"/>
    <mergeCell ref="F22:H22"/>
    <mergeCell ref="E11:H11"/>
    <mergeCell ref="E12:H12"/>
    <mergeCell ref="E13:H13"/>
    <mergeCell ref="B2:S3"/>
    <mergeCell ref="N14:Q14"/>
    <mergeCell ref="B4:S4"/>
    <mergeCell ref="N18:Q18"/>
    <mergeCell ref="N19:Q19"/>
    <mergeCell ref="Q26:R26"/>
    <mergeCell ref="C9:D9"/>
    <mergeCell ref="C10:D10"/>
    <mergeCell ref="C11:D11"/>
    <mergeCell ref="J20:K20"/>
    <mergeCell ref="E36:G42"/>
    <mergeCell ref="C20:E20"/>
    <mergeCell ref="N20:O21"/>
    <mergeCell ref="M23:N24"/>
    <mergeCell ref="G35:H35"/>
    <mergeCell ref="J21:K21"/>
    <mergeCell ref="N41:S42"/>
    <mergeCell ref="J31:K31"/>
    <mergeCell ref="N40:S40"/>
    <mergeCell ref="Q25:R25"/>
    <mergeCell ref="P20:Q20"/>
    <mergeCell ref="J25:K26"/>
    <mergeCell ref="P21:Q21"/>
    <mergeCell ref="I16:I35"/>
    <mergeCell ref="J22:P22"/>
    <mergeCell ref="C23:H23"/>
    <mergeCell ref="G25:H25"/>
    <mergeCell ref="C24:F24"/>
    <mergeCell ref="Q29:R29"/>
    <mergeCell ref="Q22:S22"/>
  </mergeCells>
  <dataValidations count="10">
    <dataValidation type="list" allowBlank="1" showInputMessage="1" showErrorMessage="1" sqref="S17">
      <formula1>$AY$155:$AY$159</formula1>
      <formula2>0</formula2>
    </dataValidation>
    <dataValidation type="list" allowBlank="1" showInputMessage="1" showErrorMessage="1" sqref="S16">
      <formula1>$AZ$148:$AZ$150</formula1>
      <formula2>0</formula2>
    </dataValidation>
    <dataValidation type="list" allowBlank="1" showInputMessage="1" showErrorMessage="1" sqref="P31 P26 P28 P24">
      <formula1>$BB$148:$BB$162</formula1>
      <formula2>0</formula2>
    </dataValidation>
    <dataValidation type="list" allowBlank="1" showInputMessage="1" showErrorMessage="1" sqref="O28">
      <formula1>$BO$189:$BO$192</formula1>
      <formula2>0</formula2>
    </dataValidation>
    <dataValidation type="list" allowBlank="1" showInputMessage="1" showErrorMessage="1" sqref="C33:C34">
      <formula1>$AT$189:$AT$202</formula1>
      <formula2>0</formula2>
    </dataValidation>
    <dataValidation type="list" allowBlank="1" showInputMessage="1" showErrorMessage="1" sqref="C25:C28">
      <formula1>$AT$163:$AT$185</formula1>
      <formula2>0</formula2>
    </dataValidation>
    <dataValidation type="list" allowBlank="1" showInputMessage="1" showErrorMessage="1" sqref="L15">
      <formula1>$BO$179:$BO$180</formula1>
      <formula2>0</formula2>
    </dataValidation>
    <dataValidation type="list" allowBlank="1" showInputMessage="1" showErrorMessage="1" sqref="L12">
      <formula1>$BO$176:$BO$177</formula1>
      <formula2>0</formula2>
    </dataValidation>
    <dataValidation type="list" allowBlank="1" showInputMessage="1" showErrorMessage="1" sqref="L9">
      <formula1>$BB$165:$BB$168</formula1>
      <formula2>0</formula2>
    </dataValidation>
    <dataValidation type="list" allowBlank="1" showInputMessage="1" showErrorMessage="1" sqref="L8">
      <formula1>$BD$149:$BD$209</formula1>
      <formula2>0</formula2>
    </dataValidation>
  </dataValidations>
  <hyperlinks>
    <hyperlink ref="B4" r:id="rId1" display="www.cramanji.webnode.com"/>
  </hyperlinks>
  <printOptions/>
  <pageMargins left="0.3298611111111111" right="0.04027777777777778" top="0.1597222222222222" bottom="0.02013888888888889" header="0.5118055555555555" footer="0.5118055555555555"/>
  <pageSetup horizontalDpi="300" verticalDpi="300" orientation="landscape" paperSize="9" scale="90" r:id="rId5"/>
  <ignoredErrors>
    <ignoredError sqref="G5 CB271" unlockedFormula="1"/>
    <ignoredError sqref="P12" numberStoredAsText="1"/>
  </ignoredErrors>
  <drawing r:id="rId4"/>
  <legacyDrawing r:id="rId3"/>
</worksheet>
</file>

<file path=xl/worksheets/sheet3.xml><?xml version="1.0" encoding="utf-8"?>
<worksheet xmlns="http://schemas.openxmlformats.org/spreadsheetml/2006/main" xmlns:r="http://schemas.openxmlformats.org/officeDocument/2006/relationships">
  <sheetPr>
    <tabColor theme="9" tint="-0.24997000396251678"/>
  </sheetPr>
  <dimension ref="A1:BZ131"/>
  <sheetViews>
    <sheetView showGridLines="0" showRowColHeaders="0" zoomScaleSheetLayoutView="100" zoomScalePageLayoutView="0" workbookViewId="0" topLeftCell="A1">
      <pane ySplit="4" topLeftCell="A5" activePane="bottomLeft" state="frozen"/>
      <selection pane="topLeft" activeCell="A1" sqref="A1"/>
      <selection pane="bottomLeft" activeCell="AA4" sqref="AA4"/>
    </sheetView>
  </sheetViews>
  <sheetFormatPr defaultColWidth="9.421875" defaultRowHeight="12.75"/>
  <cols>
    <col min="1" max="1" width="4.00390625" style="4" customWidth="1"/>
    <col min="2" max="2" width="5.421875" style="4" customWidth="1"/>
    <col min="3" max="3" width="17.8515625" style="4" customWidth="1"/>
    <col min="4" max="5" width="7.421875" style="4" customWidth="1"/>
    <col min="6" max="6" width="6.8515625" style="4" customWidth="1"/>
    <col min="7" max="7" width="6.421875" style="4" customWidth="1"/>
    <col min="8" max="8" width="5.7109375" style="147" customWidth="1"/>
    <col min="9" max="9" width="6.8515625" style="147" customWidth="1"/>
    <col min="10" max="10" width="5.7109375" style="147" customWidth="1"/>
    <col min="11" max="11" width="5.57421875" style="147" customWidth="1"/>
    <col min="12" max="15" width="5.7109375" style="147" customWidth="1"/>
    <col min="16" max="16" width="8.57421875" style="4" customWidth="1"/>
    <col min="17" max="17" width="8.28125" style="4" customWidth="1"/>
    <col min="18" max="18" width="7.140625" style="4" customWidth="1"/>
    <col min="19" max="19" width="5.7109375" style="4" customWidth="1"/>
    <col min="20" max="20" width="5.140625" style="4" customWidth="1"/>
    <col min="21" max="21" width="5.7109375" style="4" customWidth="1"/>
    <col min="22" max="22" width="5.28125" style="4" customWidth="1"/>
    <col min="23" max="23" width="6.7109375" style="4" customWidth="1"/>
    <col min="24" max="24" width="7.140625" style="4" customWidth="1"/>
    <col min="25" max="25" width="8.7109375" style="4" customWidth="1"/>
    <col min="26" max="26" width="8.57421875" style="4" customWidth="1"/>
    <col min="27" max="29" width="9.421875" style="4" customWidth="1"/>
    <col min="30" max="30" width="10.421875" style="4" customWidth="1"/>
    <col min="31" max="16384" width="9.421875" style="4" customWidth="1"/>
  </cols>
  <sheetData>
    <row r="1" spans="1:78" ht="15" customHeight="1">
      <c r="A1" s="707"/>
      <c r="B1" s="707"/>
      <c r="C1" s="707"/>
      <c r="D1" s="707"/>
      <c r="E1" s="707"/>
      <c r="F1" s="707"/>
      <c r="G1" s="707"/>
      <c r="H1" s="708"/>
      <c r="I1" s="708"/>
      <c r="J1" s="708"/>
      <c r="K1" s="708"/>
      <c r="L1" s="708"/>
      <c r="M1" s="708"/>
      <c r="N1" s="708"/>
      <c r="O1" s="708"/>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c r="BA1" s="707"/>
      <c r="BB1" s="707"/>
      <c r="BC1" s="707"/>
      <c r="BD1" s="707"/>
      <c r="BE1" s="707"/>
      <c r="BF1" s="707"/>
      <c r="BG1" s="707"/>
      <c r="BH1" s="707"/>
      <c r="BI1" s="707"/>
      <c r="BJ1" s="707"/>
      <c r="BK1" s="707"/>
      <c r="BL1" s="707"/>
      <c r="BM1" s="707"/>
      <c r="BN1" s="707"/>
      <c r="BO1" s="707"/>
      <c r="BP1" s="707"/>
      <c r="BQ1" s="707"/>
      <c r="BR1" s="707"/>
      <c r="BS1" s="707"/>
      <c r="BT1" s="707"/>
      <c r="BU1" s="707"/>
      <c r="BV1" s="707"/>
      <c r="BW1" s="707"/>
      <c r="BX1" s="707"/>
      <c r="BY1" s="707"/>
      <c r="BZ1" s="707"/>
    </row>
    <row r="2" spans="1:78" ht="19.5" customHeight="1">
      <c r="A2" s="707"/>
      <c r="B2" s="1122" t="str">
        <f>CONCATENATE("    Statement showing month wise income of ",DATA!AY169,"  ",DATA!F8,"  ,",DATA!BO166," , ",DATA!E11," , ",DATA!E12,", ",DATA!E13,"   (","Mandal",")","     for the year of 2014-2015")</f>
        <v>    Statement showing month wise income of Sri.  K.Chandra Sekhar Rao  ,SA(PS) , ZP High School , Jonnagiri, Tuggali   (Mandal)     for the year of 2014-2015</v>
      </c>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707"/>
      <c r="AB2" s="714"/>
      <c r="AC2" s="714"/>
      <c r="AD2" s="714"/>
      <c r="AE2" s="714"/>
      <c r="AF2" s="714"/>
      <c r="AG2" s="714"/>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707"/>
      <c r="BK2" s="707"/>
      <c r="BL2" s="707"/>
      <c r="BM2" s="707"/>
      <c r="BN2" s="707"/>
      <c r="BO2" s="707"/>
      <c r="BP2" s="707"/>
      <c r="BQ2" s="707"/>
      <c r="BR2" s="707"/>
      <c r="BS2" s="707"/>
      <c r="BT2" s="707"/>
      <c r="BU2" s="707"/>
      <c r="BV2" s="707"/>
      <c r="BW2" s="707"/>
      <c r="BX2" s="707"/>
      <c r="BY2" s="707"/>
      <c r="BZ2" s="707"/>
    </row>
    <row r="3" spans="1:78" ht="12.75" customHeight="1">
      <c r="A3" s="707"/>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707"/>
      <c r="AB3" s="714"/>
      <c r="AC3" s="714"/>
      <c r="AD3" s="714"/>
      <c r="AE3" s="714"/>
      <c r="AF3" s="714"/>
      <c r="AG3" s="714"/>
      <c r="AH3" s="707"/>
      <c r="AI3" s="707"/>
      <c r="AJ3" s="707"/>
      <c r="AK3" s="707"/>
      <c r="AL3" s="707"/>
      <c r="AM3" s="707"/>
      <c r="AN3" s="707"/>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707"/>
      <c r="BX3" s="707"/>
      <c r="BY3" s="707"/>
      <c r="BZ3" s="707"/>
    </row>
    <row r="4" spans="1:78" ht="37.5" customHeight="1">
      <c r="A4" s="707"/>
      <c r="B4" s="718" t="s">
        <v>313</v>
      </c>
      <c r="C4" s="719" t="s">
        <v>314</v>
      </c>
      <c r="D4" s="719" t="s">
        <v>32</v>
      </c>
      <c r="E4" s="719" t="s">
        <v>315</v>
      </c>
      <c r="F4" s="719" t="s">
        <v>316</v>
      </c>
      <c r="G4" s="719" t="str">
        <f>IF(DATA!BW271=2,"T.S Sp. Inc","Others")</f>
        <v>Others</v>
      </c>
      <c r="H4" s="719" t="s">
        <v>613</v>
      </c>
      <c r="I4" s="719" t="s">
        <v>537</v>
      </c>
      <c r="J4" s="719" t="s">
        <v>540</v>
      </c>
      <c r="K4" s="719" t="s">
        <v>542</v>
      </c>
      <c r="L4" s="719" t="s">
        <v>128</v>
      </c>
      <c r="M4" s="719" t="s">
        <v>35</v>
      </c>
      <c r="N4" s="719" t="s">
        <v>536</v>
      </c>
      <c r="O4" s="719" t="s">
        <v>563</v>
      </c>
      <c r="P4" s="720" t="s">
        <v>317</v>
      </c>
      <c r="Q4" s="719" t="str">
        <f>DATA!BP181</f>
        <v>PF</v>
      </c>
      <c r="R4" s="719" t="s">
        <v>298</v>
      </c>
      <c r="S4" s="719" t="s">
        <v>37</v>
      </c>
      <c r="T4" s="719" t="s">
        <v>149</v>
      </c>
      <c r="U4" s="721" t="s">
        <v>590</v>
      </c>
      <c r="V4" s="721" t="s">
        <v>789</v>
      </c>
      <c r="W4" s="719" t="s">
        <v>297</v>
      </c>
      <c r="X4" s="721" t="s">
        <v>318</v>
      </c>
      <c r="Y4" s="719" t="s">
        <v>306</v>
      </c>
      <c r="Z4" s="720" t="s">
        <v>307</v>
      </c>
      <c r="AA4" s="715"/>
      <c r="AB4" s="714"/>
      <c r="AC4" s="714"/>
      <c r="AD4" s="714"/>
      <c r="AE4" s="714"/>
      <c r="AF4" s="714"/>
      <c r="AG4" s="714"/>
      <c r="AH4" s="707"/>
      <c r="AI4" s="707"/>
      <c r="AJ4" s="707"/>
      <c r="AK4" s="707"/>
      <c r="AL4" s="707"/>
      <c r="AM4" s="707"/>
      <c r="AN4" s="707"/>
      <c r="AO4" s="707"/>
      <c r="AP4" s="707"/>
      <c r="AQ4" s="707"/>
      <c r="AR4" s="707"/>
      <c r="AS4" s="707"/>
      <c r="AT4" s="707"/>
      <c r="AU4" s="707"/>
      <c r="AV4" s="707"/>
      <c r="AW4" s="707"/>
      <c r="AX4" s="707"/>
      <c r="AY4" s="707"/>
      <c r="AZ4" s="707"/>
      <c r="BA4" s="707"/>
      <c r="BB4" s="707"/>
      <c r="BC4" s="707"/>
      <c r="BD4" s="707"/>
      <c r="BE4" s="707"/>
      <c r="BF4" s="707"/>
      <c r="BG4" s="707"/>
      <c r="BH4" s="707"/>
      <c r="BI4" s="707"/>
      <c r="BJ4" s="707"/>
      <c r="BK4" s="707"/>
      <c r="BL4" s="707"/>
      <c r="BM4" s="707"/>
      <c r="BN4" s="707"/>
      <c r="BO4" s="707"/>
      <c r="BP4" s="707"/>
      <c r="BQ4" s="707"/>
      <c r="BR4" s="707"/>
      <c r="BS4" s="707"/>
      <c r="BT4" s="707"/>
      <c r="BU4" s="707"/>
      <c r="BV4" s="707"/>
      <c r="BW4" s="707"/>
      <c r="BX4" s="707"/>
      <c r="BY4" s="707"/>
      <c r="BZ4" s="707"/>
    </row>
    <row r="5" spans="1:78" ht="18" customHeight="1">
      <c r="A5" s="707"/>
      <c r="B5" s="148">
        <v>1</v>
      </c>
      <c r="C5" s="451">
        <v>41699</v>
      </c>
      <c r="D5" s="149">
        <f>DATA!BP280</f>
        <v>17050</v>
      </c>
      <c r="E5" s="149">
        <f>DATA!BQ280</f>
        <v>10800</v>
      </c>
      <c r="F5" s="149">
        <f>IF(DATA!BR280=0,"",DATA!BR280)</f>
        <v>2046</v>
      </c>
      <c r="G5" s="149"/>
      <c r="H5" s="149">
        <f>DATA!BS280</f>
      </c>
      <c r="I5" s="149">
        <f>DATA!BV280</f>
        <v>4604</v>
      </c>
      <c r="J5" s="149">
        <f>DATA!CK280</f>
      </c>
      <c r="K5" s="149">
        <f>DATA!CL280</f>
      </c>
      <c r="L5" s="149">
        <f>DATA!BT280</f>
      </c>
      <c r="M5" s="149">
        <f>DATA!BU280</f>
      </c>
      <c r="N5" s="149">
        <f>IF(DATA!CV175=0,"",DATA!CV175)</f>
      </c>
      <c r="O5" s="149">
        <f>DATA!CQ159</f>
      </c>
      <c r="P5" s="149">
        <f>SUM(D5:O5)</f>
        <v>34500</v>
      </c>
      <c r="Q5" s="149">
        <f>IF(P5=0,0,DATA!CA280)</f>
        <v>1000</v>
      </c>
      <c r="R5" s="149">
        <f>IF(P5=0,0,DATA!CB280)</f>
        <v>1000</v>
      </c>
      <c r="S5" s="149">
        <f>IF(DATA!BU$172=1,IF(P5=0,0,DATA!CC280),"")</f>
        <v>200</v>
      </c>
      <c r="T5" s="149">
        <f>IF(P5=0,0,DATA!CD280)</f>
        <v>60</v>
      </c>
      <c r="U5" s="149">
        <f>IF(P5=0,0,DATA!CE280)</f>
        <v>20</v>
      </c>
      <c r="V5" s="149"/>
      <c r="W5" s="149">
        <f>DATA!CG280</f>
      </c>
      <c r="X5" s="149"/>
      <c r="Y5" s="149">
        <f aca="true" t="shared" si="0" ref="Y5:Y18">SUM(Q5:X5)</f>
        <v>2280</v>
      </c>
      <c r="Z5" s="149">
        <f aca="true" t="shared" si="1" ref="Z5:Z18">P5-Y5</f>
        <v>32220</v>
      </c>
      <c r="AA5" s="715"/>
      <c r="AB5" s="714"/>
      <c r="AC5" s="714"/>
      <c r="AD5" s="714"/>
      <c r="AE5" s="714"/>
      <c r="AF5" s="714"/>
      <c r="AG5" s="714"/>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c r="BW5" s="707"/>
      <c r="BX5" s="707"/>
      <c r="BY5" s="707"/>
      <c r="BZ5" s="707"/>
    </row>
    <row r="6" spans="1:78" ht="18" customHeight="1">
      <c r="A6" s="707"/>
      <c r="B6" s="148">
        <v>2</v>
      </c>
      <c r="C6" s="451">
        <v>41730</v>
      </c>
      <c r="D6" s="149">
        <f>DATA!BP281</f>
        <v>17050</v>
      </c>
      <c r="E6" s="149">
        <f>DATA!BQ281</f>
        <v>10800</v>
      </c>
      <c r="F6" s="149">
        <f>IF(DATA!BR281=0,"",DATA!BR281)</f>
        <v>2046</v>
      </c>
      <c r="G6" s="149"/>
      <c r="H6" s="149">
        <f>DATA!BS281</f>
      </c>
      <c r="I6" s="149">
        <f>DATA!BV281</f>
        <v>4604</v>
      </c>
      <c r="J6" s="149">
        <f>DATA!CK281</f>
      </c>
      <c r="K6" s="149">
        <f>DATA!CL281</f>
      </c>
      <c r="L6" s="149">
        <f>DATA!BT281</f>
      </c>
      <c r="M6" s="149">
        <f>DATA!BU281</f>
      </c>
      <c r="N6" s="149">
        <f>IF(DATA!CV176=0,"",DATA!CV176)</f>
      </c>
      <c r="O6" s="149">
        <f>DATA!CQ160</f>
      </c>
      <c r="P6" s="149">
        <f aca="true" t="shared" si="2" ref="P6:P18">SUM(D6:O6)</f>
        <v>34500</v>
      </c>
      <c r="Q6" s="149">
        <f>IF(P6=0,0,DATA!CA281)</f>
        <v>1000</v>
      </c>
      <c r="R6" s="149">
        <f>IF(P6=0,0,DATA!CB281)</f>
        <v>1000</v>
      </c>
      <c r="S6" s="149">
        <f>IF(DATA!BU$172=1,IF(P6=0,0,DATA!CC281),"")</f>
        <v>200</v>
      </c>
      <c r="T6" s="149">
        <f>IF(P6=0,0,DATA!CD281)</f>
        <v>60</v>
      </c>
      <c r="U6" s="149"/>
      <c r="V6" s="149"/>
      <c r="W6" s="149">
        <f>DATA!CG281</f>
      </c>
      <c r="X6" s="149"/>
      <c r="Y6" s="149">
        <f t="shared" si="0"/>
        <v>2260</v>
      </c>
      <c r="Z6" s="149">
        <f t="shared" si="1"/>
        <v>32240</v>
      </c>
      <c r="AA6" s="717">
        <f aca="true" t="shared" si="3" ref="AA6:AA26">IF(Z6="",0,1)</f>
        <v>1</v>
      </c>
      <c r="AB6" s="716"/>
      <c r="AC6" s="714"/>
      <c r="AD6" s="714"/>
      <c r="AE6" s="714"/>
      <c r="AF6" s="714"/>
      <c r="AG6" s="714"/>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c r="BV6" s="707"/>
      <c r="BW6" s="707"/>
      <c r="BX6" s="707"/>
      <c r="BY6" s="707"/>
      <c r="BZ6" s="707"/>
    </row>
    <row r="7" spans="1:78" ht="18" customHeight="1">
      <c r="A7" s="707"/>
      <c r="B7" s="148">
        <v>3</v>
      </c>
      <c r="C7" s="451">
        <v>41760</v>
      </c>
      <c r="D7" s="149">
        <f>DATA!BP282</f>
        <v>17050</v>
      </c>
      <c r="E7" s="149">
        <f>DATA!BQ282</f>
        <v>12260</v>
      </c>
      <c r="F7" s="149">
        <f>IF(DATA!BR282=0,"",DATA!BR282)</f>
        <v>2046</v>
      </c>
      <c r="G7" s="149"/>
      <c r="H7" s="149">
        <f>DATA!BS282</f>
      </c>
      <c r="I7" s="149">
        <f>DATA!BV282</f>
        <v>4604</v>
      </c>
      <c r="J7" s="149">
        <f>DATA!CK282</f>
      </c>
      <c r="K7" s="149">
        <f>DATA!CL282</f>
      </c>
      <c r="L7" s="149">
        <f>DATA!BT282</f>
      </c>
      <c r="M7" s="149">
        <f>IF(M5="","",DATA!BU282)</f>
      </c>
      <c r="N7" s="149">
        <f>IF(DATA!CV177=0,"",DATA!CV177)</f>
      </c>
      <c r="O7" s="149">
        <f>DATA!CQ161</f>
      </c>
      <c r="P7" s="149">
        <f t="shared" si="2"/>
        <v>35960</v>
      </c>
      <c r="Q7" s="149">
        <f>IF(P7=0,0,DATA!CA282)</f>
        <v>1000</v>
      </c>
      <c r="R7" s="149">
        <f>IF(P7=0,0,DATA!CB282)</f>
        <v>1000</v>
      </c>
      <c r="S7" s="149">
        <f>IF(DATA!BU$172=1,IF(P7=0,0,DATA!CC282),"")</f>
        <v>200</v>
      </c>
      <c r="T7" s="149">
        <f>IF(P7=0,0,DATA!CD282)</f>
        <v>60</v>
      </c>
      <c r="U7" s="149"/>
      <c r="V7" s="149"/>
      <c r="W7" s="149">
        <f>DATA!CG282</f>
      </c>
      <c r="X7" s="149">
        <f>IF(DATA!S23="","",DATA!S23)</f>
      </c>
      <c r="Y7" s="149">
        <f t="shared" si="0"/>
        <v>2260</v>
      </c>
      <c r="Z7" s="149">
        <f t="shared" si="1"/>
        <v>33700</v>
      </c>
      <c r="AA7" s="717">
        <f t="shared" si="3"/>
        <v>1</v>
      </c>
      <c r="AB7" s="716"/>
      <c r="AC7" s="714"/>
      <c r="AD7" s="714"/>
      <c r="AE7" s="714"/>
      <c r="AF7" s="714"/>
      <c r="AG7" s="714"/>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c r="BW7" s="707"/>
      <c r="BX7" s="707"/>
      <c r="BY7" s="707"/>
      <c r="BZ7" s="707"/>
    </row>
    <row r="8" spans="1:78" ht="18" customHeight="1">
      <c r="A8" s="707"/>
      <c r="B8" s="148">
        <v>4</v>
      </c>
      <c r="C8" s="451">
        <v>41791</v>
      </c>
      <c r="D8" s="149">
        <f>DATA!BP283</f>
        <v>17050</v>
      </c>
      <c r="E8" s="149">
        <f>DATA!BQ283</f>
        <v>12260</v>
      </c>
      <c r="F8" s="149">
        <f>IF(DATA!BR283=0,"",DATA!BR283)</f>
        <v>2046</v>
      </c>
      <c r="G8" s="149"/>
      <c r="H8" s="149">
        <f>DATA!BS283</f>
      </c>
      <c r="I8" s="149">
        <f>DATA!BV283</f>
        <v>4604</v>
      </c>
      <c r="J8" s="149">
        <f>DATA!CK283</f>
      </c>
      <c r="K8" s="149">
        <f>DATA!CL283</f>
      </c>
      <c r="L8" s="149">
        <f>DATA!BT283</f>
      </c>
      <c r="M8" s="149">
        <f>DATA!BU283</f>
      </c>
      <c r="N8" s="149">
        <f>IF(DATA!CV178=0,"",DATA!CV178)</f>
      </c>
      <c r="O8" s="149">
        <f>DATA!CQ162</f>
      </c>
      <c r="P8" s="149">
        <f t="shared" si="2"/>
        <v>35960</v>
      </c>
      <c r="Q8" s="149">
        <f>IF(P8=0,0,DATA!CA283)</f>
        <v>1000</v>
      </c>
      <c r="R8" s="149">
        <f>IF(P8=0,0,DATA!CB283)</f>
        <v>1000</v>
      </c>
      <c r="S8" s="149">
        <f>IF(DATA!BU$172=1,IF(P8=0,0,DATA!CC283),"")</f>
        <v>200</v>
      </c>
      <c r="T8" s="149">
        <f>IF(P8=0,0,DATA!CD283)</f>
        <v>60</v>
      </c>
      <c r="U8" s="149"/>
      <c r="V8" s="149"/>
      <c r="W8" s="149">
        <f>DATA!CG283</f>
      </c>
      <c r="X8" s="149"/>
      <c r="Y8" s="149">
        <f t="shared" si="0"/>
        <v>2260</v>
      </c>
      <c r="Z8" s="149">
        <f t="shared" si="1"/>
        <v>33700</v>
      </c>
      <c r="AA8" s="717">
        <f t="shared" si="3"/>
        <v>1</v>
      </c>
      <c r="AB8" s="716"/>
      <c r="AC8" s="714"/>
      <c r="AD8" s="714"/>
      <c r="AE8" s="714"/>
      <c r="AF8" s="714"/>
      <c r="AG8" s="714"/>
      <c r="AH8" s="707"/>
      <c r="AI8" s="707"/>
      <c r="AJ8" s="707"/>
      <c r="AK8" s="707"/>
      <c r="AL8" s="707"/>
      <c r="AM8" s="707"/>
      <c r="AN8" s="707"/>
      <c r="AO8" s="707"/>
      <c r="AP8" s="707"/>
      <c r="AQ8" s="707"/>
      <c r="AR8" s="707"/>
      <c r="AS8" s="707"/>
      <c r="AT8" s="707"/>
      <c r="AU8" s="707"/>
      <c r="AV8" s="707"/>
      <c r="AW8" s="707"/>
      <c r="AX8" s="707"/>
      <c r="AY8" s="707"/>
      <c r="AZ8" s="707"/>
      <c r="BA8" s="707"/>
      <c r="BB8" s="707"/>
      <c r="BC8" s="707"/>
      <c r="BD8" s="707"/>
      <c r="BE8" s="707"/>
      <c r="BF8" s="707"/>
      <c r="BG8" s="707"/>
      <c r="BH8" s="707"/>
      <c r="BI8" s="707"/>
      <c r="BJ8" s="707"/>
      <c r="BK8" s="707"/>
      <c r="BL8" s="707"/>
      <c r="BM8" s="707"/>
      <c r="BN8" s="707"/>
      <c r="BO8" s="707"/>
      <c r="BP8" s="707"/>
      <c r="BQ8" s="707"/>
      <c r="BR8" s="707"/>
      <c r="BS8" s="707"/>
      <c r="BT8" s="707"/>
      <c r="BU8" s="707"/>
      <c r="BV8" s="707"/>
      <c r="BW8" s="707"/>
      <c r="BX8" s="707"/>
      <c r="BY8" s="707"/>
      <c r="BZ8" s="707"/>
    </row>
    <row r="9" spans="1:78" ht="18" customHeight="1">
      <c r="A9" s="707"/>
      <c r="B9" s="148">
        <v>5</v>
      </c>
      <c r="C9" s="451">
        <v>41821</v>
      </c>
      <c r="D9" s="149">
        <f>DATA!BP284</f>
        <v>17050</v>
      </c>
      <c r="E9" s="149">
        <f>DATA!BQ284</f>
        <v>12260</v>
      </c>
      <c r="F9" s="149">
        <f>IF(DATA!BR284=0,"",DATA!BR284)</f>
        <v>2046</v>
      </c>
      <c r="G9" s="149"/>
      <c r="H9" s="149">
        <f>DATA!BS284</f>
      </c>
      <c r="I9" s="149">
        <f>DATA!BV284</f>
        <v>4604</v>
      </c>
      <c r="J9" s="149">
        <f>DATA!CK284</f>
      </c>
      <c r="K9" s="149">
        <f>DATA!CL284</f>
      </c>
      <c r="L9" s="149">
        <f>DATA!BT284</f>
      </c>
      <c r="M9" s="149">
        <f>DATA!BU284</f>
      </c>
      <c r="N9" s="149">
        <f>IF(DATA!CV179=0,"",DATA!CV179)</f>
      </c>
      <c r="O9" s="149">
        <f>DATA!CQ163</f>
      </c>
      <c r="P9" s="149">
        <f t="shared" si="2"/>
        <v>35960</v>
      </c>
      <c r="Q9" s="149">
        <f>IF(P9=0,0,DATA!CA284)</f>
        <v>1000</v>
      </c>
      <c r="R9" s="149">
        <f>IF(P9=0,0,DATA!CB284)</f>
        <v>1000</v>
      </c>
      <c r="S9" s="149">
        <f>IF(DATA!BU$172=1,IF(P9=0,0,DATA!CC284),"")</f>
        <v>200</v>
      </c>
      <c r="T9" s="149">
        <f>IF(P9=0,0,DATA!CD284)</f>
        <v>60</v>
      </c>
      <c r="U9" s="149">
        <f>IF(DATA!BW275="","",DATA!BW275)</f>
        <v>550</v>
      </c>
      <c r="V9" s="149"/>
      <c r="W9" s="149">
        <f>DATA!CG284</f>
      </c>
      <c r="X9" s="149"/>
      <c r="Y9" s="149">
        <f t="shared" si="0"/>
        <v>2810</v>
      </c>
      <c r="Z9" s="149">
        <f t="shared" si="1"/>
        <v>33150</v>
      </c>
      <c r="AA9" s="717">
        <f t="shared" si="3"/>
        <v>1</v>
      </c>
      <c r="AB9" s="716"/>
      <c r="AC9" s="714"/>
      <c r="AD9" s="714"/>
      <c r="AE9" s="714"/>
      <c r="AF9" s="714"/>
      <c r="AG9" s="714"/>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c r="BG9" s="707"/>
      <c r="BH9" s="707"/>
      <c r="BI9" s="707"/>
      <c r="BJ9" s="707"/>
      <c r="BK9" s="707"/>
      <c r="BL9" s="707"/>
      <c r="BM9" s="707"/>
      <c r="BN9" s="707"/>
      <c r="BO9" s="707"/>
      <c r="BP9" s="707"/>
      <c r="BQ9" s="707"/>
      <c r="BR9" s="707"/>
      <c r="BS9" s="707"/>
      <c r="BT9" s="707"/>
      <c r="BU9" s="707"/>
      <c r="BV9" s="707"/>
      <c r="BW9" s="707"/>
      <c r="BX9" s="707"/>
      <c r="BY9" s="707"/>
      <c r="BZ9" s="707"/>
    </row>
    <row r="10" spans="1:78" ht="18" customHeight="1">
      <c r="A10" s="707"/>
      <c r="B10" s="148">
        <v>6</v>
      </c>
      <c r="C10" s="451">
        <v>41852</v>
      </c>
      <c r="D10" s="149">
        <f>DATA!BP285</f>
        <v>17540</v>
      </c>
      <c r="E10" s="149">
        <f>DATA!BQ285</f>
        <v>12612</v>
      </c>
      <c r="F10" s="149">
        <f>IF(DATA!BR285=0,"",DATA!BR285)</f>
        <v>2105</v>
      </c>
      <c r="G10" s="149">
        <f>IF(DATA!BW$271=2,DATA!K$37,"")</f>
      </c>
      <c r="H10" s="149">
        <f>DATA!BS285</f>
      </c>
      <c r="I10" s="149">
        <f>DATA!BV285</f>
        <v>4736</v>
      </c>
      <c r="J10" s="149">
        <f>DATA!CK285</f>
      </c>
      <c r="K10" s="149">
        <f>DATA!CL285</f>
      </c>
      <c r="L10" s="149">
        <f>DATA!BT285</f>
      </c>
      <c r="M10" s="149">
        <f>DATA!BU285</f>
      </c>
      <c r="N10" s="149">
        <f>IF(DATA!CV180=0,"",DATA!CV180)</f>
      </c>
      <c r="O10" s="149">
        <f>DATA!CQ164</f>
      </c>
      <c r="P10" s="149">
        <f t="shared" si="2"/>
        <v>36993</v>
      </c>
      <c r="Q10" s="149">
        <f>IF(P10=0,0,DATA!CA285)</f>
        <v>1000</v>
      </c>
      <c r="R10" s="149">
        <f>IF(P10=0,0,DATA!CB285)</f>
        <v>1000</v>
      </c>
      <c r="S10" s="149">
        <f>IF(DATA!BU$172=1,IF(P10=0,0,DATA!CC285),"")</f>
        <v>200</v>
      </c>
      <c r="T10" s="149">
        <f>IF(P10=0,0,DATA!CD285)</f>
        <v>60</v>
      </c>
      <c r="U10" s="149"/>
      <c r="V10" s="149"/>
      <c r="W10" s="149">
        <f>DATA!CG285</f>
      </c>
      <c r="X10" s="149">
        <f>IF(DATA!S24="","",DATA!S24)</f>
      </c>
      <c r="Y10" s="149">
        <f t="shared" si="0"/>
        <v>2260</v>
      </c>
      <c r="Z10" s="149">
        <f t="shared" si="1"/>
        <v>34733</v>
      </c>
      <c r="AA10" s="717">
        <f t="shared" si="3"/>
        <v>1</v>
      </c>
      <c r="AB10" s="716"/>
      <c r="AC10" s="714"/>
      <c r="AD10" s="714"/>
      <c r="AE10" s="714"/>
      <c r="AF10" s="714"/>
      <c r="AG10" s="714"/>
      <c r="AH10" s="707"/>
      <c r="AI10" s="707"/>
      <c r="AJ10" s="707"/>
      <c r="AK10" s="707"/>
      <c r="AL10" s="707"/>
      <c r="AM10" s="707"/>
      <c r="AN10" s="707"/>
      <c r="AO10" s="707"/>
      <c r="AP10" s="707"/>
      <c r="AQ10" s="707"/>
      <c r="AR10" s="707"/>
      <c r="AS10" s="707"/>
      <c r="AT10" s="707"/>
      <c r="AU10" s="707"/>
      <c r="AV10" s="707"/>
      <c r="AW10" s="707"/>
      <c r="AX10" s="707"/>
      <c r="AY10" s="707"/>
      <c r="AZ10" s="707"/>
      <c r="BA10" s="707"/>
      <c r="BB10" s="707"/>
      <c r="BC10" s="707"/>
      <c r="BD10" s="707"/>
      <c r="BE10" s="707"/>
      <c r="BF10" s="707"/>
      <c r="BG10" s="707"/>
      <c r="BH10" s="707"/>
      <c r="BI10" s="707"/>
      <c r="BJ10" s="707"/>
      <c r="BK10" s="707"/>
      <c r="BL10" s="707"/>
      <c r="BM10" s="707"/>
      <c r="BN10" s="707"/>
      <c r="BO10" s="707"/>
      <c r="BP10" s="707"/>
      <c r="BQ10" s="707"/>
      <c r="BR10" s="707"/>
      <c r="BS10" s="707"/>
      <c r="BT10" s="707"/>
      <c r="BU10" s="707"/>
      <c r="BV10" s="707"/>
      <c r="BW10" s="707"/>
      <c r="BX10" s="707"/>
      <c r="BY10" s="707"/>
      <c r="BZ10" s="707"/>
    </row>
    <row r="11" spans="1:78" ht="18" customHeight="1">
      <c r="A11" s="707"/>
      <c r="B11" s="148">
        <v>7</v>
      </c>
      <c r="C11" s="451">
        <v>41883</v>
      </c>
      <c r="D11" s="149">
        <f>DATA!BP286</f>
        <v>17540</v>
      </c>
      <c r="E11" s="149">
        <f>DATA!BQ286</f>
        <v>12612</v>
      </c>
      <c r="F11" s="149">
        <f>IF(DATA!BR286=0,"",DATA!BR286)</f>
        <v>2105</v>
      </c>
      <c r="G11" s="149">
        <f>IF(DATA!BW$271=2,DATA!K$37,"")</f>
      </c>
      <c r="H11" s="149">
        <f>DATA!BS286</f>
      </c>
      <c r="I11" s="149">
        <f>DATA!BV286</f>
        <v>4736</v>
      </c>
      <c r="J11" s="149">
        <f>DATA!CK286</f>
      </c>
      <c r="K11" s="149">
        <f>DATA!CL286</f>
      </c>
      <c r="L11" s="149">
        <f>DATA!BT286</f>
      </c>
      <c r="M11" s="149">
        <f>DATA!BU286</f>
      </c>
      <c r="N11" s="149">
        <f>IF(DATA!CV181=0,"",DATA!CV181)</f>
      </c>
      <c r="O11" s="149">
        <f>DATA!CQ165</f>
      </c>
      <c r="P11" s="149">
        <f t="shared" si="2"/>
        <v>36993</v>
      </c>
      <c r="Q11" s="149">
        <f>IF(P11=0,0,DATA!CA286)</f>
        <v>1000</v>
      </c>
      <c r="R11" s="149">
        <f>IF(P11=0,0,DATA!CB286)</f>
        <v>1000</v>
      </c>
      <c r="S11" s="149">
        <f>IF(DATA!BU$172=1,IF(P11=0,0,DATA!CC286),"")</f>
        <v>200</v>
      </c>
      <c r="T11" s="149">
        <f>IF(P11=0,0,DATA!CD286)</f>
        <v>60</v>
      </c>
      <c r="U11" s="149"/>
      <c r="V11" s="149"/>
      <c r="W11" s="149">
        <f>DATA!CG286</f>
      </c>
      <c r="X11" s="149"/>
      <c r="Y11" s="149">
        <f t="shared" si="0"/>
        <v>2260</v>
      </c>
      <c r="Z11" s="149">
        <f t="shared" si="1"/>
        <v>34733</v>
      </c>
      <c r="AA11" s="717">
        <f t="shared" si="3"/>
        <v>1</v>
      </c>
      <c r="AB11" s="714"/>
      <c r="AC11" s="714"/>
      <c r="AD11" s="714"/>
      <c r="AE11" s="714"/>
      <c r="AF11" s="714"/>
      <c r="AG11" s="714"/>
      <c r="AH11" s="714"/>
      <c r="AI11" s="707"/>
      <c r="AJ11" s="707"/>
      <c r="AK11" s="707"/>
      <c r="AL11" s="707"/>
      <c r="AM11" s="707"/>
      <c r="AN11" s="707"/>
      <c r="AO11" s="707"/>
      <c r="AP11" s="707"/>
      <c r="AQ11" s="707"/>
      <c r="AR11" s="707"/>
      <c r="AS11" s="707"/>
      <c r="AT11" s="707"/>
      <c r="AU11" s="707"/>
      <c r="AV11" s="707"/>
      <c r="AW11" s="707"/>
      <c r="AX11" s="707"/>
      <c r="AY11" s="707"/>
      <c r="AZ11" s="707"/>
      <c r="BA11" s="707"/>
      <c r="BB11" s="707"/>
      <c r="BC11" s="707"/>
      <c r="BD11" s="707"/>
      <c r="BE11" s="707"/>
      <c r="BF11" s="707"/>
      <c r="BG11" s="707"/>
      <c r="BH11" s="707"/>
      <c r="BI11" s="707"/>
      <c r="BJ11" s="707"/>
      <c r="BK11" s="707"/>
      <c r="BL11" s="707"/>
      <c r="BM11" s="707"/>
      <c r="BN11" s="707"/>
      <c r="BO11" s="707"/>
      <c r="BP11" s="707"/>
      <c r="BQ11" s="707"/>
      <c r="BR11" s="707"/>
      <c r="BS11" s="707"/>
      <c r="BT11" s="707"/>
      <c r="BU11" s="707"/>
      <c r="BV11" s="707"/>
      <c r="BW11" s="707"/>
      <c r="BX11" s="707"/>
      <c r="BY11" s="707"/>
      <c r="BZ11" s="707"/>
    </row>
    <row r="12" spans="1:78" ht="18" customHeight="1">
      <c r="A12" s="707"/>
      <c r="B12" s="148">
        <v>8</v>
      </c>
      <c r="C12" s="451">
        <v>41913</v>
      </c>
      <c r="D12" s="149">
        <f>DATA!BP287</f>
        <v>17540</v>
      </c>
      <c r="E12" s="149">
        <f>DATA!BQ287</f>
        <v>13663</v>
      </c>
      <c r="F12" s="149">
        <f>IF(DATA!BR287=0,"",DATA!BR287)</f>
        <v>2105</v>
      </c>
      <c r="G12" s="149">
        <f>IF(DATA!BW$271=2,DATA!K$37,"")</f>
      </c>
      <c r="H12" s="149">
        <f>DATA!BS287</f>
      </c>
      <c r="I12" s="149">
        <f>DATA!BV287</f>
        <v>4736</v>
      </c>
      <c r="J12" s="149">
        <f>DATA!CK287</f>
      </c>
      <c r="K12" s="149">
        <f>DATA!CL287</f>
      </c>
      <c r="L12" s="149">
        <f>DATA!BT287</f>
      </c>
      <c r="M12" s="149">
        <f>DATA!BU287</f>
      </c>
      <c r="N12" s="149">
        <f>IF(DATA!CV182=0,"",DATA!CV182)</f>
      </c>
      <c r="O12" s="149">
        <f>DATA!CQ166</f>
      </c>
      <c r="P12" s="149">
        <f t="shared" si="2"/>
        <v>38044</v>
      </c>
      <c r="Q12" s="149">
        <f>IF(P12=0,0,DATA!CA287)</f>
        <v>1000</v>
      </c>
      <c r="R12" s="149">
        <f>IF(P12=0,0,DATA!CB287)</f>
        <v>1000</v>
      </c>
      <c r="S12" s="149">
        <f>IF(DATA!BU$172=1,IF(P12=0,0,DATA!CC287),"")</f>
        <v>200</v>
      </c>
      <c r="T12" s="149">
        <f>IF(P12=0,0,DATA!CD287)</f>
        <v>60</v>
      </c>
      <c r="U12" s="149"/>
      <c r="V12" s="149"/>
      <c r="W12" s="149">
        <f>DATA!CG287</f>
      </c>
      <c r="X12" s="149"/>
      <c r="Y12" s="149">
        <f t="shared" si="0"/>
        <v>2260</v>
      </c>
      <c r="Z12" s="149">
        <f t="shared" si="1"/>
        <v>35784</v>
      </c>
      <c r="AA12" s="717">
        <f t="shared" si="3"/>
        <v>1</v>
      </c>
      <c r="AB12" s="714"/>
      <c r="AC12" s="714"/>
      <c r="AD12" s="714"/>
      <c r="AE12" s="714"/>
      <c r="AF12" s="714"/>
      <c r="AG12" s="714"/>
      <c r="AH12" s="714"/>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c r="BW12" s="707"/>
      <c r="BX12" s="707"/>
      <c r="BY12" s="707"/>
      <c r="BZ12" s="707"/>
    </row>
    <row r="13" spans="1:78" ht="18" customHeight="1">
      <c r="A13" s="707"/>
      <c r="B13" s="148">
        <v>9</v>
      </c>
      <c r="C13" s="451">
        <v>41944</v>
      </c>
      <c r="D13" s="149">
        <f>DATA!BP288</f>
        <v>17540</v>
      </c>
      <c r="E13" s="149">
        <f>DATA!BQ288</f>
        <v>13663</v>
      </c>
      <c r="F13" s="149">
        <f>IF(DATA!BR288=0,"",DATA!BR288)</f>
        <v>2105</v>
      </c>
      <c r="G13" s="149">
        <f>IF(DATA!BW$271=2,DATA!K$37,"")</f>
      </c>
      <c r="H13" s="149">
        <f>DATA!BS288</f>
      </c>
      <c r="I13" s="149">
        <f>DATA!BV288</f>
        <v>4736</v>
      </c>
      <c r="J13" s="149">
        <f>DATA!CK288</f>
      </c>
      <c r="K13" s="149">
        <f>DATA!CL288</f>
      </c>
      <c r="L13" s="149">
        <f>DATA!BT288</f>
      </c>
      <c r="M13" s="149">
        <f>DATA!BU288</f>
      </c>
      <c r="N13" s="149">
        <f>IF(DATA!CV183=0,"",DATA!CV183)</f>
      </c>
      <c r="O13" s="149">
        <f>DATA!CQ167</f>
      </c>
      <c r="P13" s="149">
        <f t="shared" si="2"/>
        <v>38044</v>
      </c>
      <c r="Q13" s="149">
        <f>IF(P13=0,0,DATA!CA288)</f>
        <v>1000</v>
      </c>
      <c r="R13" s="149">
        <f>IF(P13=0,0,DATA!CB288)</f>
        <v>1000</v>
      </c>
      <c r="S13" s="149">
        <f>IF(DATA!BU$172=1,IF(P13=0,0,DATA!CC288),"")</f>
        <v>200</v>
      </c>
      <c r="T13" s="149">
        <f>IF(P13=0,0,DATA!CD288)</f>
        <v>60</v>
      </c>
      <c r="U13" s="149">
        <f>DATA!BX274</f>
        <v>1169</v>
      </c>
      <c r="V13" s="149">
        <f>IF(DATA!CB272="","",DATA!CB272)</f>
        <v>90</v>
      </c>
      <c r="W13" s="149">
        <f>DATA!CG288</f>
      </c>
      <c r="X13" s="149">
        <f>IF(DATA!S25="","",DATA!S25)</f>
      </c>
      <c r="Y13" s="149">
        <f t="shared" si="0"/>
        <v>3519</v>
      </c>
      <c r="Z13" s="149">
        <f t="shared" si="1"/>
        <v>34525</v>
      </c>
      <c r="AA13" s="717">
        <f t="shared" si="3"/>
        <v>1</v>
      </c>
      <c r="AB13" s="716"/>
      <c r="AC13" s="714"/>
      <c r="AD13" s="714"/>
      <c r="AE13" s="714"/>
      <c r="AF13" s="714"/>
      <c r="AG13" s="714"/>
      <c r="AH13" s="714"/>
      <c r="AI13" s="714"/>
      <c r="AJ13" s="707"/>
      <c r="AK13" s="707"/>
      <c r="AL13" s="707"/>
      <c r="AM13" s="707"/>
      <c r="AN13" s="707"/>
      <c r="AO13" s="707"/>
      <c r="AP13" s="707"/>
      <c r="AQ13" s="707"/>
      <c r="AR13" s="707"/>
      <c r="AS13" s="707"/>
      <c r="AT13" s="707"/>
      <c r="AU13" s="707"/>
      <c r="AV13" s="707"/>
      <c r="AW13" s="707"/>
      <c r="AX13" s="707"/>
      <c r="AY13" s="707"/>
      <c r="AZ13" s="707"/>
      <c r="BA13" s="707"/>
      <c r="BB13" s="707"/>
      <c r="BC13" s="707"/>
      <c r="BD13" s="707"/>
      <c r="BE13" s="707"/>
      <c r="BF13" s="707"/>
      <c r="BG13" s="707"/>
      <c r="BH13" s="707"/>
      <c r="BI13" s="707"/>
      <c r="BJ13" s="707"/>
      <c r="BK13" s="707"/>
      <c r="BL13" s="707"/>
      <c r="BM13" s="707"/>
      <c r="BN13" s="707"/>
      <c r="BO13" s="707"/>
      <c r="BP13" s="707"/>
      <c r="BQ13" s="707"/>
      <c r="BR13" s="707"/>
      <c r="BS13" s="707"/>
      <c r="BT13" s="707"/>
      <c r="BU13" s="707"/>
      <c r="BV13" s="707"/>
      <c r="BW13" s="707"/>
      <c r="BX13" s="707"/>
      <c r="BY13" s="707"/>
      <c r="BZ13" s="707"/>
    </row>
    <row r="14" spans="1:78" ht="18" customHeight="1">
      <c r="A14" s="707"/>
      <c r="B14" s="148">
        <v>10</v>
      </c>
      <c r="C14" s="451">
        <v>41974</v>
      </c>
      <c r="D14" s="149">
        <f>DATA!BP289</f>
        <v>17540</v>
      </c>
      <c r="E14" s="149">
        <f>DATA!BQ289</f>
        <v>13663</v>
      </c>
      <c r="F14" s="149">
        <f>IF(DATA!BR289=0,"",DATA!BR289)</f>
        <v>2105</v>
      </c>
      <c r="G14" s="149">
        <f>IF(DATA!BW$271=2,DATA!K$37,"")</f>
      </c>
      <c r="H14" s="149">
        <f>DATA!BS289</f>
      </c>
      <c r="I14" s="149">
        <f>DATA!BV289</f>
        <v>4736</v>
      </c>
      <c r="J14" s="149">
        <f>DATA!CK289</f>
      </c>
      <c r="K14" s="149">
        <f>DATA!CL289</f>
      </c>
      <c r="L14" s="149">
        <f>DATA!BT289</f>
      </c>
      <c r="M14" s="149">
        <f>DATA!BU289</f>
      </c>
      <c r="N14" s="149">
        <f>IF(DATA!CV184=0,"",DATA!CV184)</f>
      </c>
      <c r="O14" s="149">
        <f>DATA!CQ168</f>
      </c>
      <c r="P14" s="149">
        <f t="shared" si="2"/>
        <v>38044</v>
      </c>
      <c r="Q14" s="149">
        <f>IF(P14=0,0,DATA!CA289)</f>
        <v>1000</v>
      </c>
      <c r="R14" s="149">
        <f>IF(P14=0,0,DATA!CB289)</f>
        <v>1000</v>
      </c>
      <c r="S14" s="149">
        <f>IF(DATA!BU$172=1,IF(P14=0,0,DATA!CC289),"")</f>
        <v>200</v>
      </c>
      <c r="T14" s="149">
        <f>IF(P14=0,0,DATA!CD289)</f>
        <v>60</v>
      </c>
      <c r="U14" s="149">
        <f>IF(P14=0,0,DATA!CE289)</f>
        <v>20</v>
      </c>
      <c r="V14" s="149">
        <f>IF(DATA!CB273="","",DATA!CB273)</f>
        <v>90</v>
      </c>
      <c r="W14" s="149">
        <f>DATA!CG289</f>
      </c>
      <c r="X14" s="149">
        <f>IF(DATA!S26="","",DATA!S26)</f>
      </c>
      <c r="Y14" s="149">
        <f t="shared" si="0"/>
        <v>2370</v>
      </c>
      <c r="Z14" s="149">
        <f t="shared" si="1"/>
        <v>35674</v>
      </c>
      <c r="AA14" s="717">
        <f t="shared" si="3"/>
        <v>1</v>
      </c>
      <c r="AB14" s="714"/>
      <c r="AC14" s="714"/>
      <c r="AD14" s="714"/>
      <c r="AE14" s="714"/>
      <c r="AF14" s="714"/>
      <c r="AG14" s="714"/>
      <c r="AH14" s="714"/>
      <c r="AI14" s="707"/>
      <c r="AJ14" s="707"/>
      <c r="AK14" s="707"/>
      <c r="AL14" s="707"/>
      <c r="AM14" s="707"/>
      <c r="AN14" s="707"/>
      <c r="AO14" s="707"/>
      <c r="AP14" s="707"/>
      <c r="AQ14" s="707"/>
      <c r="AR14" s="707"/>
      <c r="AS14" s="707"/>
      <c r="AT14" s="707"/>
      <c r="AU14" s="707"/>
      <c r="AV14" s="707"/>
      <c r="AW14" s="707"/>
      <c r="AX14" s="707"/>
      <c r="AY14" s="707"/>
      <c r="AZ14" s="707"/>
      <c r="BA14" s="707"/>
      <c r="BB14" s="707"/>
      <c r="BC14" s="707"/>
      <c r="BD14" s="707"/>
      <c r="BE14" s="707"/>
      <c r="BF14" s="707"/>
      <c r="BG14" s="707"/>
      <c r="BH14" s="707"/>
      <c r="BI14" s="707"/>
      <c r="BJ14" s="707"/>
      <c r="BK14" s="707"/>
      <c r="BL14" s="707"/>
      <c r="BM14" s="707"/>
      <c r="BN14" s="707"/>
      <c r="BO14" s="707"/>
      <c r="BP14" s="707"/>
      <c r="BQ14" s="707"/>
      <c r="BR14" s="707"/>
      <c r="BS14" s="707"/>
      <c r="BT14" s="707"/>
      <c r="BU14" s="707"/>
      <c r="BV14" s="707"/>
      <c r="BW14" s="707"/>
      <c r="BX14" s="707"/>
      <c r="BY14" s="707"/>
      <c r="BZ14" s="707"/>
    </row>
    <row r="15" spans="1:78" ht="18" customHeight="1">
      <c r="A15" s="707"/>
      <c r="B15" s="148">
        <v>11</v>
      </c>
      <c r="C15" s="451">
        <v>42005</v>
      </c>
      <c r="D15" s="149">
        <f>DATA!BP290</f>
        <v>17540</v>
      </c>
      <c r="E15" s="149">
        <f>DATA!BQ290</f>
        <v>13663</v>
      </c>
      <c r="F15" s="149">
        <f>IF(DATA!BR290=0,"",DATA!BR290)</f>
        <v>2105</v>
      </c>
      <c r="G15" s="149">
        <f>IF(DATA!BW$271=2,DATA!K$37,"")</f>
      </c>
      <c r="H15" s="149">
        <f>DATA!BS290</f>
      </c>
      <c r="I15" s="149">
        <f>DATA!BV290</f>
        <v>4736</v>
      </c>
      <c r="J15" s="149">
        <f>DATA!CK290</f>
      </c>
      <c r="K15" s="149">
        <f>DATA!CL290</f>
      </c>
      <c r="L15" s="149">
        <f>DATA!BT290</f>
      </c>
      <c r="M15" s="149">
        <f>DATA!BU290</f>
      </c>
      <c r="N15" s="149">
        <f>IF(DATA!CV185=0,"",DATA!CV185)</f>
      </c>
      <c r="O15" s="149">
        <f>DATA!CQ169</f>
      </c>
      <c r="P15" s="149">
        <f t="shared" si="2"/>
        <v>38044</v>
      </c>
      <c r="Q15" s="149">
        <f>IF(P15=0,0,DATA!CA290)</f>
        <v>1000</v>
      </c>
      <c r="R15" s="149">
        <f>IF(P15=0,0,DATA!CB290)</f>
        <v>1000</v>
      </c>
      <c r="S15" s="149">
        <f>IF(DATA!BU$172=1,IF(P15=0,0,DATA!CC290),"")</f>
        <v>200</v>
      </c>
      <c r="T15" s="149">
        <f>IF(P15=0,0,DATA!CD290)</f>
        <v>60</v>
      </c>
      <c r="U15" s="149"/>
      <c r="V15" s="149">
        <f>IF(DATA!CB274="","",DATA!CB274)</f>
        <v>90</v>
      </c>
      <c r="W15" s="149">
        <f>DATA!CG290</f>
      </c>
      <c r="X15" s="149">
        <f>IF(DATA!S27="","",DATA!S27)</f>
      </c>
      <c r="Y15" s="149">
        <f t="shared" si="0"/>
        <v>2350</v>
      </c>
      <c r="Z15" s="149">
        <f t="shared" si="1"/>
        <v>35694</v>
      </c>
      <c r="AA15" s="717">
        <f t="shared" si="3"/>
        <v>1</v>
      </c>
      <c r="AB15" s="714"/>
      <c r="AC15" s="714"/>
      <c r="AD15" s="714"/>
      <c r="AE15" s="714"/>
      <c r="AF15" s="714"/>
      <c r="AG15" s="714"/>
      <c r="AH15" s="714"/>
      <c r="AI15" s="707"/>
      <c r="AJ15" s="707"/>
      <c r="AK15" s="707"/>
      <c r="AL15" s="707"/>
      <c r="AM15" s="707"/>
      <c r="AN15" s="707"/>
      <c r="AO15" s="707"/>
      <c r="AP15" s="707"/>
      <c r="AQ15" s="707"/>
      <c r="AR15" s="707"/>
      <c r="AS15" s="707"/>
      <c r="AT15" s="707"/>
      <c r="AU15" s="707"/>
      <c r="AV15" s="707"/>
      <c r="AW15" s="707"/>
      <c r="AX15" s="707"/>
      <c r="AY15" s="707"/>
      <c r="AZ15" s="707"/>
      <c r="BA15" s="707"/>
      <c r="BB15" s="707"/>
      <c r="BC15" s="707"/>
      <c r="BD15" s="707"/>
      <c r="BE15" s="707"/>
      <c r="BF15" s="707"/>
      <c r="BG15" s="707"/>
      <c r="BH15" s="707"/>
      <c r="BI15" s="707"/>
      <c r="BJ15" s="707"/>
      <c r="BK15" s="707"/>
      <c r="BL15" s="707"/>
      <c r="BM15" s="707"/>
      <c r="BN15" s="707"/>
      <c r="BO15" s="707"/>
      <c r="BP15" s="707"/>
      <c r="BQ15" s="707"/>
      <c r="BR15" s="707"/>
      <c r="BS15" s="707"/>
      <c r="BT15" s="707"/>
      <c r="BU15" s="707"/>
      <c r="BV15" s="707"/>
      <c r="BW15" s="707"/>
      <c r="BX15" s="707"/>
      <c r="BY15" s="707"/>
      <c r="BZ15" s="707"/>
    </row>
    <row r="16" spans="1:78" ht="18" customHeight="1">
      <c r="A16" s="707"/>
      <c r="B16" s="148">
        <v>12</v>
      </c>
      <c r="C16" s="451">
        <v>42036</v>
      </c>
      <c r="D16" s="149">
        <f>DATA!BP291</f>
        <v>17540</v>
      </c>
      <c r="E16" s="149">
        <f>DATA!BQ291</f>
        <v>13663</v>
      </c>
      <c r="F16" s="149">
        <f>IF(DATA!BR291=0,"",DATA!BR291)</f>
        <v>2105</v>
      </c>
      <c r="G16" s="149">
        <f>IF(DATA!BW$271=2,DATA!K$37,"")</f>
      </c>
      <c r="H16" s="149">
        <f>DATA!BS291</f>
      </c>
      <c r="I16" s="149">
        <f>DATA!BV291</f>
        <v>4736</v>
      </c>
      <c r="J16" s="149">
        <f>DATA!CK291</f>
      </c>
      <c r="K16" s="149">
        <f>DATA!CL291</f>
      </c>
      <c r="L16" s="149">
        <f>DATA!BT291</f>
      </c>
      <c r="M16" s="149">
        <f>DATA!BU291</f>
      </c>
      <c r="N16" s="149">
        <f>IF(DATA!CV186=0,"",DATA!CV186)</f>
      </c>
      <c r="O16" s="149">
        <f>DATA!CQ170</f>
      </c>
      <c r="P16" s="149">
        <f t="shared" si="2"/>
        <v>38044</v>
      </c>
      <c r="Q16" s="149">
        <f>IF(P16=0,0,DATA!CA291)</f>
        <v>1000</v>
      </c>
      <c r="R16" s="149">
        <f>IF(P16=0,0,DATA!CB291)</f>
        <v>1000</v>
      </c>
      <c r="S16" s="149">
        <f>IF(DATA!BU$172=1,IF(P16=0,0,DATA!CC291),"")</f>
        <v>200</v>
      </c>
      <c r="T16" s="149">
        <f>IF(P16=0,0,DATA!CD291)</f>
        <v>60</v>
      </c>
      <c r="U16" s="149"/>
      <c r="V16" s="149">
        <f>IF(DATA!CB275="","",DATA!CB275)</f>
        <v>90</v>
      </c>
      <c r="W16" s="149">
        <f>DATA!CG291</f>
      </c>
      <c r="X16" s="149">
        <f>IF(DATA!S28="","",DATA!S28)</f>
      </c>
      <c r="Y16" s="149">
        <f t="shared" si="0"/>
        <v>2350</v>
      </c>
      <c r="Z16" s="149">
        <f t="shared" si="1"/>
        <v>35694</v>
      </c>
      <c r="AA16" s="717">
        <f t="shared" si="3"/>
        <v>1</v>
      </c>
      <c r="AB16" s="714"/>
      <c r="AC16" s="714"/>
      <c r="AD16" s="714"/>
      <c r="AE16" s="714"/>
      <c r="AF16" s="714"/>
      <c r="AG16" s="714"/>
      <c r="AH16" s="714"/>
      <c r="AI16" s="707"/>
      <c r="AJ16" s="707"/>
      <c r="AK16" s="707"/>
      <c r="AL16" s="707"/>
      <c r="AM16" s="707"/>
      <c r="AN16" s="707"/>
      <c r="AO16" s="707"/>
      <c r="AP16" s="707"/>
      <c r="AQ16" s="707"/>
      <c r="AR16" s="707"/>
      <c r="AS16" s="707"/>
      <c r="AT16" s="707"/>
      <c r="AU16" s="707"/>
      <c r="AV16" s="707"/>
      <c r="AW16" s="707"/>
      <c r="AX16" s="707"/>
      <c r="AY16" s="707"/>
      <c r="AZ16" s="707"/>
      <c r="BA16" s="707"/>
      <c r="BB16" s="707"/>
      <c r="BC16" s="707"/>
      <c r="BD16" s="707"/>
      <c r="BE16" s="707"/>
      <c r="BF16" s="707"/>
      <c r="BG16" s="707"/>
      <c r="BH16" s="707"/>
      <c r="BI16" s="707"/>
      <c r="BJ16" s="707"/>
      <c r="BK16" s="707"/>
      <c r="BL16" s="707"/>
      <c r="BM16" s="707"/>
      <c r="BN16" s="707"/>
      <c r="BO16" s="707"/>
      <c r="BP16" s="707"/>
      <c r="BQ16" s="707"/>
      <c r="BR16" s="707"/>
      <c r="BS16" s="707"/>
      <c r="BT16" s="707"/>
      <c r="BU16" s="707"/>
      <c r="BV16" s="707"/>
      <c r="BW16" s="707"/>
      <c r="BX16" s="707"/>
      <c r="BY16" s="707"/>
      <c r="BZ16" s="707"/>
    </row>
    <row r="17" spans="1:78" ht="18" customHeight="1">
      <c r="A17" s="707"/>
      <c r="B17" s="148">
        <v>13</v>
      </c>
      <c r="C17" s="448" t="s">
        <v>770</v>
      </c>
      <c r="D17" s="149"/>
      <c r="E17" s="149">
        <f>DATA!BX294</f>
        <v>5840</v>
      </c>
      <c r="F17" s="149"/>
      <c r="G17" s="149"/>
      <c r="H17" s="149"/>
      <c r="I17" s="149"/>
      <c r="J17" s="149"/>
      <c r="K17" s="149"/>
      <c r="L17" s="149"/>
      <c r="M17" s="149"/>
      <c r="N17" s="149"/>
      <c r="O17" s="149"/>
      <c r="P17" s="149">
        <f t="shared" si="2"/>
        <v>5840</v>
      </c>
      <c r="Q17" s="149">
        <f>DATA!CA294</f>
        <v>5840</v>
      </c>
      <c r="R17" s="149"/>
      <c r="S17" s="149"/>
      <c r="T17" s="149"/>
      <c r="U17" s="149"/>
      <c r="V17" s="149"/>
      <c r="W17" s="149"/>
      <c r="X17" s="149"/>
      <c r="Y17" s="149">
        <f t="shared" si="0"/>
        <v>5840</v>
      </c>
      <c r="Z17" s="149">
        <f t="shared" si="1"/>
        <v>0</v>
      </c>
      <c r="AA17" s="717">
        <f t="shared" si="3"/>
        <v>1</v>
      </c>
      <c r="AB17" s="714"/>
      <c r="AC17" s="714"/>
      <c r="AD17" s="714"/>
      <c r="AE17" s="714"/>
      <c r="AF17" s="714"/>
      <c r="AG17" s="714"/>
      <c r="AH17" s="714"/>
      <c r="AI17" s="707"/>
      <c r="AJ17" s="707"/>
      <c r="AK17" s="707"/>
      <c r="AL17" s="707"/>
      <c r="AM17" s="707"/>
      <c r="AN17" s="707"/>
      <c r="AO17" s="707"/>
      <c r="AP17" s="707"/>
      <c r="AQ17" s="707"/>
      <c r="AR17" s="707"/>
      <c r="AS17" s="707"/>
      <c r="AT17" s="707"/>
      <c r="AU17" s="707"/>
      <c r="AV17" s="707"/>
      <c r="AW17" s="707"/>
      <c r="AX17" s="707"/>
      <c r="AY17" s="707"/>
      <c r="AZ17" s="707"/>
      <c r="BA17" s="707"/>
      <c r="BB17" s="707"/>
      <c r="BC17" s="707"/>
      <c r="BD17" s="707"/>
      <c r="BE17" s="707"/>
      <c r="BF17" s="707"/>
      <c r="BG17" s="707"/>
      <c r="BH17" s="707"/>
      <c r="BI17" s="707"/>
      <c r="BJ17" s="707"/>
      <c r="BK17" s="707"/>
      <c r="BL17" s="707"/>
      <c r="BM17" s="707"/>
      <c r="BN17" s="707"/>
      <c r="BO17" s="707"/>
      <c r="BP17" s="707"/>
      <c r="BQ17" s="707"/>
      <c r="BR17" s="707"/>
      <c r="BS17" s="707"/>
      <c r="BT17" s="707"/>
      <c r="BU17" s="707"/>
      <c r="BV17" s="707"/>
      <c r="BW17" s="707"/>
      <c r="BX17" s="707"/>
      <c r="BY17" s="707"/>
      <c r="BZ17" s="707"/>
    </row>
    <row r="18" spans="1:78" ht="18" customHeight="1">
      <c r="A18" s="707"/>
      <c r="B18" s="148">
        <v>14</v>
      </c>
      <c r="C18" s="448" t="s">
        <v>771</v>
      </c>
      <c r="D18" s="149"/>
      <c r="E18" s="149">
        <f>DATA!BX295</f>
        <v>3123</v>
      </c>
      <c r="F18" s="149"/>
      <c r="G18" s="149"/>
      <c r="H18" s="149"/>
      <c r="I18" s="149"/>
      <c r="J18" s="149"/>
      <c r="K18" s="149"/>
      <c r="L18" s="149"/>
      <c r="M18" s="149"/>
      <c r="N18" s="149"/>
      <c r="O18" s="149"/>
      <c r="P18" s="149">
        <f t="shared" si="2"/>
        <v>3123</v>
      </c>
      <c r="Q18" s="149">
        <f>DATA!CA295</f>
        <v>3123</v>
      </c>
      <c r="R18" s="149"/>
      <c r="S18" s="149"/>
      <c r="T18" s="149"/>
      <c r="U18" s="149"/>
      <c r="V18" s="149"/>
      <c r="W18" s="149"/>
      <c r="X18" s="149"/>
      <c r="Y18" s="149">
        <f t="shared" si="0"/>
        <v>3123</v>
      </c>
      <c r="Z18" s="149">
        <f t="shared" si="1"/>
        <v>0</v>
      </c>
      <c r="AA18" s="717">
        <f t="shared" si="3"/>
        <v>1</v>
      </c>
      <c r="AB18" s="714"/>
      <c r="AC18" s="714"/>
      <c r="AD18" s="714"/>
      <c r="AE18" s="714"/>
      <c r="AF18" s="714"/>
      <c r="AG18" s="714"/>
      <c r="AH18" s="714"/>
      <c r="AI18" s="707"/>
      <c r="AJ18" s="707"/>
      <c r="AK18" s="707"/>
      <c r="AL18" s="707"/>
      <c r="AM18" s="707"/>
      <c r="AN18" s="707"/>
      <c r="AO18" s="707"/>
      <c r="AP18" s="707"/>
      <c r="AQ18" s="707"/>
      <c r="AR18" s="707"/>
      <c r="AS18" s="707"/>
      <c r="AT18" s="707"/>
      <c r="AU18" s="707"/>
      <c r="AV18" s="707"/>
      <c r="AW18" s="707"/>
      <c r="AX18" s="707"/>
      <c r="AY18" s="707"/>
      <c r="AZ18" s="707"/>
      <c r="BA18" s="707"/>
      <c r="BB18" s="707"/>
      <c r="BC18" s="707"/>
      <c r="BD18" s="707"/>
      <c r="BE18" s="707"/>
      <c r="BF18" s="707"/>
      <c r="BG18" s="707"/>
      <c r="BH18" s="707"/>
      <c r="BI18" s="707"/>
      <c r="BJ18" s="707"/>
      <c r="BK18" s="707"/>
      <c r="BL18" s="707"/>
      <c r="BM18" s="707"/>
      <c r="BN18" s="707"/>
      <c r="BO18" s="707"/>
      <c r="BP18" s="707"/>
      <c r="BQ18" s="707"/>
      <c r="BR18" s="707"/>
      <c r="BS18" s="707"/>
      <c r="BT18" s="707"/>
      <c r="BU18" s="707"/>
      <c r="BV18" s="707"/>
      <c r="BW18" s="707"/>
      <c r="BX18" s="707"/>
      <c r="BY18" s="707"/>
      <c r="BZ18" s="707"/>
    </row>
    <row r="19" spans="1:78" ht="18" customHeight="1">
      <c r="A19" s="707"/>
      <c r="B19" s="148">
        <v>15</v>
      </c>
      <c r="C19" s="448" t="s">
        <v>312</v>
      </c>
      <c r="D19" s="149">
        <f>DATA!AS277</f>
      </c>
      <c r="E19" s="149">
        <f>DATA!AT279</f>
      </c>
      <c r="F19" s="149">
        <f>DATA!AU279</f>
      </c>
      <c r="G19" s="149"/>
      <c r="H19" s="149">
        <f>DATA!AZ292</f>
      </c>
      <c r="I19" s="149"/>
      <c r="J19" s="149"/>
      <c r="K19" s="149"/>
      <c r="L19" s="149"/>
      <c r="M19" s="149"/>
      <c r="N19" s="149"/>
      <c r="O19" s="149"/>
      <c r="P19" s="149">
        <f>IF(D19="","",SUM(D19:O19))</f>
      </c>
      <c r="Q19" s="149"/>
      <c r="R19" s="149"/>
      <c r="S19" s="149"/>
      <c r="T19" s="149"/>
      <c r="U19" s="149"/>
      <c r="V19" s="149"/>
      <c r="W19" s="149"/>
      <c r="X19" s="149"/>
      <c r="Y19" s="149"/>
      <c r="Z19" s="149">
        <f>IF(P19="","",(P19-Y19))</f>
      </c>
      <c r="AA19" s="717">
        <f t="shared" si="3"/>
        <v>0</v>
      </c>
      <c r="AB19" s="714"/>
      <c r="AC19" s="714"/>
      <c r="AD19" s="714"/>
      <c r="AE19" s="714"/>
      <c r="AF19" s="714"/>
      <c r="AG19" s="714"/>
      <c r="AH19" s="714"/>
      <c r="AI19" s="707"/>
      <c r="AJ19" s="707"/>
      <c r="AK19" s="707"/>
      <c r="AL19" s="707"/>
      <c r="AM19" s="707"/>
      <c r="AN19" s="707"/>
      <c r="AO19" s="707"/>
      <c r="AP19" s="707"/>
      <c r="AQ19" s="707"/>
      <c r="AR19" s="707"/>
      <c r="AS19" s="707"/>
      <c r="AT19" s="707"/>
      <c r="AU19" s="707"/>
      <c r="AV19" s="707"/>
      <c r="AW19" s="707"/>
      <c r="AX19" s="707"/>
      <c r="AY19" s="707"/>
      <c r="AZ19" s="707"/>
      <c r="BA19" s="707"/>
      <c r="BB19" s="707"/>
      <c r="BC19" s="707"/>
      <c r="BD19" s="707"/>
      <c r="BE19" s="707"/>
      <c r="BF19" s="707"/>
      <c r="BG19" s="707"/>
      <c r="BH19" s="707"/>
      <c r="BI19" s="707"/>
      <c r="BJ19" s="707"/>
      <c r="BK19" s="707"/>
      <c r="BL19" s="707"/>
      <c r="BM19" s="707"/>
      <c r="BN19" s="707"/>
      <c r="BO19" s="707"/>
      <c r="BP19" s="707"/>
      <c r="BQ19" s="707"/>
      <c r="BR19" s="707"/>
      <c r="BS19" s="707"/>
      <c r="BT19" s="707"/>
      <c r="BU19" s="707"/>
      <c r="BV19" s="707"/>
      <c r="BW19" s="707"/>
      <c r="BX19" s="707"/>
      <c r="BY19" s="707"/>
      <c r="BZ19" s="707"/>
    </row>
    <row r="20" spans="1:78" ht="24" customHeight="1">
      <c r="A20" s="707"/>
      <c r="B20" s="148">
        <v>16</v>
      </c>
      <c r="C20" s="448">
        <f>DATA!AW288</f>
      </c>
      <c r="D20" s="149"/>
      <c r="E20" s="149">
        <f>DATA!AV288</f>
      </c>
      <c r="F20" s="149">
        <f>IF(DATA!BR295=0,"",DATA!BR295)</f>
      </c>
      <c r="G20" s="149"/>
      <c r="H20" s="149"/>
      <c r="I20" s="149"/>
      <c r="J20" s="149"/>
      <c r="K20" s="149"/>
      <c r="L20" s="149"/>
      <c r="M20" s="149"/>
      <c r="N20" s="149"/>
      <c r="O20" s="149"/>
      <c r="P20" s="149">
        <f>IF(E20="","",E20)</f>
      </c>
      <c r="Q20" s="149"/>
      <c r="R20" s="149"/>
      <c r="S20" s="149"/>
      <c r="T20" s="149"/>
      <c r="U20" s="149"/>
      <c r="V20" s="149"/>
      <c r="W20" s="149"/>
      <c r="X20" s="149"/>
      <c r="Y20" s="149"/>
      <c r="Z20" s="149">
        <f>IF(P20="","",(P20-Y20))</f>
      </c>
      <c r="AA20" s="717">
        <f t="shared" si="3"/>
        <v>0</v>
      </c>
      <c r="AB20" s="707"/>
      <c r="AC20" s="714"/>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c r="BA20" s="707"/>
      <c r="BB20" s="707"/>
      <c r="BC20" s="707"/>
      <c r="BD20" s="707"/>
      <c r="BE20" s="707"/>
      <c r="BF20" s="707"/>
      <c r="BG20" s="707"/>
      <c r="BH20" s="707"/>
      <c r="BI20" s="707"/>
      <c r="BJ20" s="707"/>
      <c r="BK20" s="707"/>
      <c r="BL20" s="707"/>
      <c r="BM20" s="707"/>
      <c r="BN20" s="707"/>
      <c r="BO20" s="707"/>
      <c r="BP20" s="707"/>
      <c r="BQ20" s="707"/>
      <c r="BR20" s="707"/>
      <c r="BS20" s="707"/>
      <c r="BT20" s="707"/>
      <c r="BU20" s="707"/>
      <c r="BV20" s="707"/>
      <c r="BW20" s="707"/>
      <c r="BX20" s="707"/>
      <c r="BY20" s="707"/>
      <c r="BZ20" s="707"/>
    </row>
    <row r="21" spans="1:78" ht="25.5" customHeight="1">
      <c r="A21" s="707"/>
      <c r="B21" s="148">
        <v>17</v>
      </c>
      <c r="C21" s="448">
        <f>DATA!BN300</f>
      </c>
      <c r="D21" s="149">
        <f>DATA!BP300</f>
      </c>
      <c r="E21" s="149">
        <f>DATA!BQ300</f>
      </c>
      <c r="F21" s="149">
        <f>IF(DATA!BR300=0,"",DATA!BR300)</f>
      </c>
      <c r="G21" s="149"/>
      <c r="H21" s="149"/>
      <c r="I21" s="149">
        <f>DATA!BV300</f>
      </c>
      <c r="J21" s="149"/>
      <c r="K21" s="149"/>
      <c r="L21" s="149"/>
      <c r="M21" s="149">
        <f>IF(DATA!BU300=0,"",DATA!BU300)</f>
      </c>
      <c r="N21" s="149"/>
      <c r="O21" s="149"/>
      <c r="P21" s="149">
        <f>IF(D21="","",SUM(D21:O21))</f>
      </c>
      <c r="Q21" s="149">
        <f>DATA!BZ300</f>
      </c>
      <c r="R21" s="149"/>
      <c r="S21" s="149"/>
      <c r="T21" s="149"/>
      <c r="U21" s="149"/>
      <c r="V21" s="149"/>
      <c r="W21" s="149"/>
      <c r="X21" s="149"/>
      <c r="Y21" s="149">
        <f>IF(D21="","",SUM(Q21:X21))</f>
      </c>
      <c r="Z21" s="149">
        <f>IF(P21="","",P21-Y21)</f>
      </c>
      <c r="AA21" s="717">
        <f t="shared" si="3"/>
        <v>0</v>
      </c>
      <c r="AB21" s="783"/>
      <c r="AC21" s="714"/>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c r="BA21" s="707"/>
      <c r="BB21" s="707"/>
      <c r="BC21" s="707"/>
      <c r="BD21" s="707"/>
      <c r="BE21" s="707"/>
      <c r="BF21" s="707"/>
      <c r="BG21" s="707"/>
      <c r="BH21" s="707"/>
      <c r="BI21" s="707"/>
      <c r="BJ21" s="707"/>
      <c r="BK21" s="707"/>
      <c r="BL21" s="707"/>
      <c r="BM21" s="707"/>
      <c r="BN21" s="707"/>
      <c r="BO21" s="707"/>
      <c r="BP21" s="707"/>
      <c r="BQ21" s="707"/>
      <c r="BR21" s="707"/>
      <c r="BS21" s="707"/>
      <c r="BT21" s="707"/>
      <c r="BU21" s="707"/>
      <c r="BV21" s="707"/>
      <c r="BW21" s="707"/>
      <c r="BX21" s="707"/>
      <c r="BY21" s="707"/>
      <c r="BZ21" s="707"/>
    </row>
    <row r="22" spans="1:78" ht="29.25" customHeight="1">
      <c r="A22" s="707"/>
      <c r="B22" s="148">
        <v>18</v>
      </c>
      <c r="C22" s="448">
        <f>DATA!BN301</f>
      </c>
      <c r="D22" s="149">
        <f>DATA!BP301</f>
      </c>
      <c r="E22" s="149">
        <f>DATA!BQ301</f>
      </c>
      <c r="F22" s="149">
        <f>IF(DATA!BR301=0,"",DATA!BR301)</f>
      </c>
      <c r="G22" s="149"/>
      <c r="H22" s="149"/>
      <c r="I22" s="149">
        <f>DATA!BV301</f>
      </c>
      <c r="J22" s="149"/>
      <c r="K22" s="149"/>
      <c r="L22" s="149"/>
      <c r="M22" s="149">
        <f>DATA!BU301</f>
      </c>
      <c r="N22" s="149"/>
      <c r="O22" s="149"/>
      <c r="P22" s="149">
        <f>IF(D22="","",SUM(D22:O22))</f>
      </c>
      <c r="Q22" s="149">
        <f>DATA!BZ301</f>
      </c>
      <c r="R22" s="149"/>
      <c r="S22" s="149"/>
      <c r="T22" s="149"/>
      <c r="U22" s="149"/>
      <c r="V22" s="149"/>
      <c r="W22" s="149"/>
      <c r="X22" s="149"/>
      <c r="Y22" s="149">
        <f>IF(D22="","",SUM(Q22:X22))</f>
      </c>
      <c r="Z22" s="149">
        <f>IF(P22="","",P22-Y22)</f>
      </c>
      <c r="AA22" s="717">
        <f t="shared" si="3"/>
        <v>0</v>
      </c>
      <c r="AB22" s="707"/>
      <c r="AC22" s="714"/>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c r="BA22" s="707"/>
      <c r="BB22" s="707"/>
      <c r="BC22" s="707"/>
      <c r="BD22" s="707"/>
      <c r="BE22" s="707"/>
      <c r="BF22" s="707"/>
      <c r="BG22" s="707"/>
      <c r="BH22" s="707"/>
      <c r="BI22" s="707"/>
      <c r="BJ22" s="707"/>
      <c r="BK22" s="707"/>
      <c r="BL22" s="707"/>
      <c r="BM22" s="707"/>
      <c r="BN22" s="707"/>
      <c r="BO22" s="707"/>
      <c r="BP22" s="707"/>
      <c r="BQ22" s="707"/>
      <c r="BR22" s="707"/>
      <c r="BS22" s="707"/>
      <c r="BT22" s="707"/>
      <c r="BU22" s="707"/>
      <c r="BV22" s="707"/>
      <c r="BW22" s="707"/>
      <c r="BX22" s="707"/>
      <c r="BY22" s="707"/>
      <c r="BZ22" s="707"/>
    </row>
    <row r="23" spans="1:78" ht="30" customHeight="1">
      <c r="A23" s="707"/>
      <c r="B23" s="148">
        <v>19</v>
      </c>
      <c r="C23" s="448">
        <f>DATA!BN302</f>
      </c>
      <c r="D23" s="149">
        <f>DATA!BP302</f>
      </c>
      <c r="E23" s="149">
        <f>DATA!BQ302</f>
      </c>
      <c r="F23" s="149">
        <f>IF(DATA!BR302=0,"",DATA!BR302)</f>
      </c>
      <c r="G23" s="149"/>
      <c r="H23" s="149"/>
      <c r="I23" s="149">
        <f>DATA!BV302</f>
      </c>
      <c r="J23" s="149"/>
      <c r="K23" s="149"/>
      <c r="L23" s="149"/>
      <c r="M23" s="149">
        <f>DATA!BU302</f>
      </c>
      <c r="N23" s="149"/>
      <c r="O23" s="149"/>
      <c r="P23" s="149">
        <f>IF(D23="","",SUM(D23:O23))</f>
      </c>
      <c r="Q23" s="149">
        <f>DATA!BZ302</f>
      </c>
      <c r="R23" s="149"/>
      <c r="S23" s="149"/>
      <c r="T23" s="149"/>
      <c r="U23" s="149"/>
      <c r="V23" s="149"/>
      <c r="W23" s="149"/>
      <c r="X23" s="149"/>
      <c r="Y23" s="149">
        <f>IF(D23="","",SUM(Q23:X23))</f>
      </c>
      <c r="Z23" s="149">
        <f>IF(P23="","",P23-Y23)</f>
      </c>
      <c r="AA23" s="717">
        <f t="shared" si="3"/>
        <v>0</v>
      </c>
      <c r="AB23" s="707"/>
      <c r="AC23" s="714"/>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c r="BA23" s="707"/>
      <c r="BB23" s="707"/>
      <c r="BC23" s="707"/>
      <c r="BD23" s="707"/>
      <c r="BE23" s="707"/>
      <c r="BF23" s="707"/>
      <c r="BG23" s="707"/>
      <c r="BH23" s="707"/>
      <c r="BI23" s="707"/>
      <c r="BJ23" s="707"/>
      <c r="BK23" s="707"/>
      <c r="BL23" s="707"/>
      <c r="BM23" s="707"/>
      <c r="BN23" s="707"/>
      <c r="BO23" s="707"/>
      <c r="BP23" s="707"/>
      <c r="BQ23" s="707"/>
      <c r="BR23" s="707"/>
      <c r="BS23" s="707"/>
      <c r="BT23" s="707"/>
      <c r="BU23" s="707"/>
      <c r="BV23" s="707"/>
      <c r="BW23" s="707"/>
      <c r="BX23" s="707"/>
      <c r="BY23" s="707"/>
      <c r="BZ23" s="707"/>
    </row>
    <row r="24" spans="1:78" ht="18.75" customHeight="1">
      <c r="A24" s="707"/>
      <c r="B24" s="148">
        <v>20</v>
      </c>
      <c r="C24" s="450" t="s">
        <v>591</v>
      </c>
      <c r="D24" s="149"/>
      <c r="E24" s="149"/>
      <c r="F24" s="149"/>
      <c r="G24" s="149"/>
      <c r="H24" s="149"/>
      <c r="I24" s="149"/>
      <c r="J24" s="149"/>
      <c r="K24" s="149"/>
      <c r="L24" s="149"/>
      <c r="M24" s="149"/>
      <c r="N24" s="149"/>
      <c r="O24" s="149"/>
      <c r="P24" s="149">
        <f>IF(DATA!L13="","",DATA!L13)</f>
      </c>
      <c r="Q24" s="149"/>
      <c r="R24" s="149"/>
      <c r="S24" s="149"/>
      <c r="T24" s="149"/>
      <c r="U24" s="149"/>
      <c r="V24" s="149"/>
      <c r="W24" s="149"/>
      <c r="X24" s="149"/>
      <c r="Y24" s="149"/>
      <c r="Z24" s="149">
        <f>IF(P24="","",P24-Y24)</f>
      </c>
      <c r="AA24" s="717">
        <f t="shared" si="3"/>
        <v>0</v>
      </c>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c r="BA24" s="707"/>
      <c r="BB24" s="707"/>
      <c r="BC24" s="707"/>
      <c r="BD24" s="707"/>
      <c r="BE24" s="707"/>
      <c r="BF24" s="707"/>
      <c r="BG24" s="707"/>
      <c r="BH24" s="707"/>
      <c r="BI24" s="707"/>
      <c r="BJ24" s="707"/>
      <c r="BK24" s="707"/>
      <c r="BL24" s="707"/>
      <c r="BM24" s="707"/>
      <c r="BN24" s="707"/>
      <c r="BO24" s="707"/>
      <c r="BP24" s="707"/>
      <c r="BQ24" s="707"/>
      <c r="BR24" s="707"/>
      <c r="BS24" s="707"/>
      <c r="BT24" s="707"/>
      <c r="BU24" s="707"/>
      <c r="BV24" s="707"/>
      <c r="BW24" s="707"/>
      <c r="BX24" s="707"/>
      <c r="BY24" s="707"/>
      <c r="BZ24" s="707"/>
    </row>
    <row r="25" spans="1:78" ht="24">
      <c r="A25" s="707"/>
      <c r="B25" s="148">
        <v>21</v>
      </c>
      <c r="C25" s="448" t="str">
        <f>DATA!J34</f>
        <v>Step up/ Preponment Arrears</v>
      </c>
      <c r="D25" s="149">
        <f>IF(DATA!K34="","",DATA!K34)</f>
      </c>
      <c r="E25" s="149">
        <f>IF(DATA!L34="","",DATA!L34)</f>
      </c>
      <c r="F25" s="149">
        <f>IF(DATA!N34=0,"",DATA!N34)</f>
      </c>
      <c r="G25" s="149"/>
      <c r="H25" s="149"/>
      <c r="I25" s="149"/>
      <c r="J25" s="149"/>
      <c r="K25" s="149"/>
      <c r="L25" s="149"/>
      <c r="M25" s="149">
        <f>IF(DATA!O34="","",DATA!O34)</f>
      </c>
      <c r="N25" s="149"/>
      <c r="O25" s="149"/>
      <c r="P25" s="149">
        <f>IF(D25="","",SUM(D25:O25))</f>
      </c>
      <c r="Q25" s="149">
        <f>IF(DATA!P34="","",DATA!P34)</f>
      </c>
      <c r="R25" s="149"/>
      <c r="S25" s="149">
        <f>IF(DATA!Q34="","",DATA!Q34)</f>
      </c>
      <c r="T25" s="149"/>
      <c r="U25" s="149"/>
      <c r="V25" s="149"/>
      <c r="W25" s="149"/>
      <c r="X25" s="149"/>
      <c r="Y25" s="149">
        <f>IF(P25="","",SUM(Q25:X25))</f>
      </c>
      <c r="Z25" s="149">
        <f>IF(P25="","",P25-Y25)</f>
      </c>
      <c r="AA25" s="717">
        <f t="shared" si="3"/>
        <v>0</v>
      </c>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c r="BA25" s="707"/>
      <c r="BB25" s="707"/>
      <c r="BC25" s="707"/>
      <c r="BD25" s="707"/>
      <c r="BE25" s="707"/>
      <c r="BF25" s="707"/>
      <c r="BG25" s="707"/>
      <c r="BH25" s="707"/>
      <c r="BI25" s="707"/>
      <c r="BJ25" s="707"/>
      <c r="BK25" s="707"/>
      <c r="BL25" s="707"/>
      <c r="BM25" s="707"/>
      <c r="BN25" s="707"/>
      <c r="BO25" s="707"/>
      <c r="BP25" s="707"/>
      <c r="BQ25" s="707"/>
      <c r="BR25" s="707"/>
      <c r="BS25" s="707"/>
      <c r="BT25" s="707"/>
      <c r="BU25" s="707"/>
      <c r="BV25" s="707"/>
      <c r="BW25" s="707"/>
      <c r="BX25" s="707"/>
      <c r="BY25" s="707"/>
      <c r="BZ25" s="707"/>
    </row>
    <row r="26" spans="1:78" ht="24">
      <c r="A26" s="707"/>
      <c r="B26" s="148">
        <v>22</v>
      </c>
      <c r="C26" s="448" t="s">
        <v>595</v>
      </c>
      <c r="D26" s="149"/>
      <c r="E26" s="149"/>
      <c r="F26" s="149"/>
      <c r="G26" s="149"/>
      <c r="H26" s="149"/>
      <c r="I26" s="149"/>
      <c r="J26" s="149"/>
      <c r="K26" s="149"/>
      <c r="L26" s="149"/>
      <c r="M26" s="149"/>
      <c r="N26" s="149"/>
      <c r="O26" s="149"/>
      <c r="P26" s="149">
        <f>IF(DATA!L16="","",DATA!L16)</f>
      </c>
      <c r="Q26" s="149"/>
      <c r="R26" s="149"/>
      <c r="S26" s="149"/>
      <c r="T26" s="149"/>
      <c r="U26" s="149"/>
      <c r="V26" s="149"/>
      <c r="W26" s="149"/>
      <c r="X26" s="149"/>
      <c r="Y26" s="149"/>
      <c r="Z26" s="149">
        <f>IF(P26="","",P26)</f>
      </c>
      <c r="AA26" s="717">
        <f t="shared" si="3"/>
        <v>0</v>
      </c>
      <c r="AB26" s="707"/>
      <c r="AC26" s="707"/>
      <c r="AD26" s="707"/>
      <c r="AE26" s="707"/>
      <c r="AF26" s="707"/>
      <c r="AG26" s="707"/>
      <c r="AH26" s="707"/>
      <c r="AI26" s="707"/>
      <c r="AJ26" s="707"/>
      <c r="AK26" s="707"/>
      <c r="AL26" s="707"/>
      <c r="AM26" s="707"/>
      <c r="AN26" s="707"/>
      <c r="AO26" s="707"/>
      <c r="AP26" s="707"/>
      <c r="AQ26" s="707"/>
      <c r="AR26" s="707"/>
      <c r="AS26" s="707"/>
      <c r="AT26" s="707"/>
      <c r="AU26" s="707"/>
      <c r="AV26" s="707"/>
      <c r="AW26" s="707"/>
      <c r="AX26" s="707"/>
      <c r="AY26" s="707"/>
      <c r="AZ26" s="707"/>
      <c r="BA26" s="707"/>
      <c r="BB26" s="707"/>
      <c r="BC26" s="707"/>
      <c r="BD26" s="707"/>
      <c r="BE26" s="707"/>
      <c r="BF26" s="707"/>
      <c r="BG26" s="707"/>
      <c r="BH26" s="707"/>
      <c r="BI26" s="707"/>
      <c r="BJ26" s="707"/>
      <c r="BK26" s="707"/>
      <c r="BL26" s="707"/>
      <c r="BM26" s="707"/>
      <c r="BN26" s="707"/>
      <c r="BO26" s="707"/>
      <c r="BP26" s="707"/>
      <c r="BQ26" s="707"/>
      <c r="BR26" s="707"/>
      <c r="BS26" s="707"/>
      <c r="BT26" s="707"/>
      <c r="BU26" s="707"/>
      <c r="BV26" s="707"/>
      <c r="BW26" s="707"/>
      <c r="BX26" s="707"/>
      <c r="BY26" s="707"/>
      <c r="BZ26" s="707"/>
    </row>
    <row r="27" spans="1:78" ht="24" customHeight="1">
      <c r="A27" s="707"/>
      <c r="B27" s="722">
        <v>24</v>
      </c>
      <c r="C27" s="723" t="s">
        <v>319</v>
      </c>
      <c r="D27" s="724">
        <f aca="true" t="shared" si="4" ref="D27:X27">SUM(D5:D26)</f>
        <v>208030</v>
      </c>
      <c r="E27" s="724">
        <f t="shared" si="4"/>
        <v>160882</v>
      </c>
      <c r="F27" s="724">
        <f t="shared" si="4"/>
        <v>24965</v>
      </c>
      <c r="G27" s="724">
        <f>SUM(G5:G26)</f>
        <v>0</v>
      </c>
      <c r="H27" s="724">
        <f t="shared" si="4"/>
        <v>0</v>
      </c>
      <c r="I27" s="724">
        <f>SUM(I5:I26)</f>
        <v>56172</v>
      </c>
      <c r="J27" s="724">
        <f>SUM(J5:J26)</f>
        <v>0</v>
      </c>
      <c r="K27" s="724">
        <f>SUM(K5:K26)</f>
        <v>0</v>
      </c>
      <c r="L27" s="724">
        <f t="shared" si="4"/>
        <v>0</v>
      </c>
      <c r="M27" s="724">
        <f t="shared" si="4"/>
        <v>0</v>
      </c>
      <c r="N27" s="724">
        <f>SUM(N5:N26)</f>
        <v>0</v>
      </c>
      <c r="O27" s="724">
        <f>SUM(O5:O26)</f>
        <v>0</v>
      </c>
      <c r="P27" s="724">
        <f>SUM(P5:P26)</f>
        <v>450049</v>
      </c>
      <c r="Q27" s="724">
        <f t="shared" si="4"/>
        <v>20963</v>
      </c>
      <c r="R27" s="724">
        <f t="shared" si="4"/>
        <v>12000</v>
      </c>
      <c r="S27" s="724">
        <f t="shared" si="4"/>
        <v>2400</v>
      </c>
      <c r="T27" s="724">
        <f t="shared" si="4"/>
        <v>720</v>
      </c>
      <c r="U27" s="724">
        <f t="shared" si="4"/>
        <v>1759</v>
      </c>
      <c r="V27" s="724">
        <f>SUM(V5:V26)</f>
        <v>360</v>
      </c>
      <c r="W27" s="724">
        <f t="shared" si="4"/>
        <v>0</v>
      </c>
      <c r="X27" s="724">
        <f t="shared" si="4"/>
        <v>0</v>
      </c>
      <c r="Y27" s="724">
        <f>SUM(Y5:Y26)</f>
        <v>38202</v>
      </c>
      <c r="Z27" s="724">
        <f>P27-Y27</f>
        <v>411847</v>
      </c>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7"/>
      <c r="BN27" s="707"/>
      <c r="BO27" s="707"/>
      <c r="BP27" s="707"/>
      <c r="BQ27" s="707"/>
      <c r="BR27" s="707"/>
      <c r="BS27" s="707"/>
      <c r="BT27" s="707"/>
      <c r="BU27" s="707"/>
      <c r="BV27" s="707"/>
      <c r="BW27" s="707"/>
      <c r="BX27" s="707"/>
      <c r="BY27" s="707"/>
      <c r="BZ27" s="707"/>
    </row>
    <row r="28" spans="1:78" ht="15">
      <c r="A28" s="707"/>
      <c r="B28" s="150"/>
      <c r="C28" s="150"/>
      <c r="D28" s="150"/>
      <c r="E28" s="150"/>
      <c r="F28" s="150"/>
      <c r="G28" s="150"/>
      <c r="H28" s="151"/>
      <c r="I28" s="151"/>
      <c r="J28" s="151"/>
      <c r="K28" s="151"/>
      <c r="L28" s="151"/>
      <c r="M28" s="151"/>
      <c r="N28" s="151"/>
      <c r="O28" s="151"/>
      <c r="P28" s="150"/>
      <c r="Q28" s="150"/>
      <c r="R28" s="150"/>
      <c r="S28" s="150"/>
      <c r="T28" s="150"/>
      <c r="U28" s="150"/>
      <c r="V28" s="150"/>
      <c r="W28" s="150"/>
      <c r="X28" s="150"/>
      <c r="Y28" s="150"/>
      <c r="Z28" s="150"/>
      <c r="AA28" s="707"/>
      <c r="AB28" s="707"/>
      <c r="AC28" s="707"/>
      <c r="AD28" s="707"/>
      <c r="AE28" s="707"/>
      <c r="AF28" s="707"/>
      <c r="AG28" s="707"/>
      <c r="AH28" s="707"/>
      <c r="AI28" s="707"/>
      <c r="AJ28" s="707"/>
      <c r="AK28" s="707"/>
      <c r="AL28" s="707"/>
      <c r="AM28" s="707"/>
      <c r="AN28" s="707"/>
      <c r="AO28" s="707"/>
      <c r="AP28" s="707"/>
      <c r="AQ28" s="707"/>
      <c r="AR28" s="707"/>
      <c r="AS28" s="707"/>
      <c r="AT28" s="707"/>
      <c r="AU28" s="707"/>
      <c r="AV28" s="707"/>
      <c r="AW28" s="707"/>
      <c r="AX28" s="707"/>
      <c r="AY28" s="707"/>
      <c r="AZ28" s="707"/>
      <c r="BA28" s="707"/>
      <c r="BB28" s="707"/>
      <c r="BC28" s="707"/>
      <c r="BD28" s="707"/>
      <c r="BE28" s="707"/>
      <c r="BF28" s="707"/>
      <c r="BG28" s="707"/>
      <c r="BH28" s="707"/>
      <c r="BI28" s="707"/>
      <c r="BJ28" s="707"/>
      <c r="BK28" s="707"/>
      <c r="BL28" s="707"/>
      <c r="BM28" s="707"/>
      <c r="BN28" s="707"/>
      <c r="BO28" s="707"/>
      <c r="BP28" s="707"/>
      <c r="BQ28" s="707"/>
      <c r="BR28" s="707"/>
      <c r="BS28" s="707"/>
      <c r="BT28" s="707"/>
      <c r="BU28" s="707"/>
      <c r="BV28" s="707"/>
      <c r="BW28" s="707"/>
      <c r="BX28" s="707"/>
      <c r="BY28" s="707"/>
      <c r="BZ28" s="707"/>
    </row>
    <row r="29" spans="1:78" ht="15">
      <c r="A29" s="707"/>
      <c r="B29" s="150"/>
      <c r="C29" s="150"/>
      <c r="D29" s="150"/>
      <c r="E29" s="150"/>
      <c r="F29" s="150"/>
      <c r="G29" s="150"/>
      <c r="H29" s="151"/>
      <c r="I29" s="151"/>
      <c r="J29" s="151"/>
      <c r="K29" s="151"/>
      <c r="L29" s="151"/>
      <c r="M29" s="151"/>
      <c r="N29" s="151"/>
      <c r="O29" s="151"/>
      <c r="P29" s="150"/>
      <c r="Q29" s="150"/>
      <c r="R29" s="150"/>
      <c r="S29" s="150"/>
      <c r="T29" s="150"/>
      <c r="U29" s="150"/>
      <c r="V29" s="150"/>
      <c r="W29" s="150"/>
      <c r="X29" s="150"/>
      <c r="Y29" s="150"/>
      <c r="Z29" s="150"/>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7"/>
      <c r="AY29" s="707"/>
      <c r="AZ29" s="707"/>
      <c r="BA29" s="707"/>
      <c r="BB29" s="707"/>
      <c r="BC29" s="707"/>
      <c r="BD29" s="707"/>
      <c r="BE29" s="707"/>
      <c r="BF29" s="707"/>
      <c r="BG29" s="707"/>
      <c r="BH29" s="707"/>
      <c r="BI29" s="707"/>
      <c r="BJ29" s="707"/>
      <c r="BK29" s="707"/>
      <c r="BL29" s="707"/>
      <c r="BM29" s="707"/>
      <c r="BN29" s="707"/>
      <c r="BO29" s="707"/>
      <c r="BP29" s="707"/>
      <c r="BQ29" s="707"/>
      <c r="BR29" s="707"/>
      <c r="BS29" s="707"/>
      <c r="BT29" s="707"/>
      <c r="BU29" s="707"/>
      <c r="BV29" s="707"/>
      <c r="BW29" s="707"/>
      <c r="BX29" s="707"/>
      <c r="BY29" s="707"/>
      <c r="BZ29" s="707"/>
    </row>
    <row r="30" spans="1:78" ht="15">
      <c r="A30" s="707"/>
      <c r="B30" s="150"/>
      <c r="C30" s="150"/>
      <c r="D30" s="150"/>
      <c r="E30" s="150"/>
      <c r="F30" s="150"/>
      <c r="G30" s="150"/>
      <c r="H30" s="151"/>
      <c r="I30" s="151"/>
      <c r="J30" s="151"/>
      <c r="K30" s="151"/>
      <c r="L30" s="151"/>
      <c r="M30" s="151"/>
      <c r="N30" s="151"/>
      <c r="O30" s="151"/>
      <c r="P30" s="150"/>
      <c r="Q30" s="150"/>
      <c r="R30" s="150"/>
      <c r="S30" s="150"/>
      <c r="T30" s="150"/>
      <c r="U30" s="150"/>
      <c r="V30" s="150"/>
      <c r="W30" s="150"/>
      <c r="X30" s="150"/>
      <c r="Y30" s="150"/>
      <c r="Z30" s="150"/>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c r="BA30" s="707"/>
      <c r="BB30" s="707"/>
      <c r="BC30" s="707"/>
      <c r="BD30" s="707"/>
      <c r="BE30" s="707"/>
      <c r="BF30" s="707"/>
      <c r="BG30" s="707"/>
      <c r="BH30" s="707"/>
      <c r="BI30" s="707"/>
      <c r="BJ30" s="707"/>
      <c r="BK30" s="707"/>
      <c r="BL30" s="707"/>
      <c r="BM30" s="707"/>
      <c r="BN30" s="707"/>
      <c r="BO30" s="707"/>
      <c r="BP30" s="707"/>
      <c r="BQ30" s="707"/>
      <c r="BR30" s="707"/>
      <c r="BS30" s="707"/>
      <c r="BT30" s="707"/>
      <c r="BU30" s="707"/>
      <c r="BV30" s="707"/>
      <c r="BW30" s="707"/>
      <c r="BX30" s="707"/>
      <c r="BY30" s="707"/>
      <c r="BZ30" s="707"/>
    </row>
    <row r="31" spans="1:78" ht="15">
      <c r="A31" s="707"/>
      <c r="B31" s="150"/>
      <c r="C31" s="150"/>
      <c r="D31" s="1124" t="s">
        <v>320</v>
      </c>
      <c r="E31" s="1124"/>
      <c r="F31" s="1124"/>
      <c r="G31" s="540"/>
      <c r="H31" s="151"/>
      <c r="I31" s="151"/>
      <c r="J31" s="151"/>
      <c r="K31" s="151"/>
      <c r="L31" s="151"/>
      <c r="M31" s="151"/>
      <c r="N31" s="151"/>
      <c r="O31" s="151"/>
      <c r="P31" s="150"/>
      <c r="Q31" s="150"/>
      <c r="R31" s="150"/>
      <c r="S31" s="150"/>
      <c r="T31" s="150"/>
      <c r="U31" s="152" t="s">
        <v>321</v>
      </c>
      <c r="V31" s="152"/>
      <c r="W31" s="152"/>
      <c r="X31" s="152"/>
      <c r="Y31" s="150"/>
      <c r="Z31" s="150"/>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c r="BA31" s="707"/>
      <c r="BB31" s="707"/>
      <c r="BC31" s="707"/>
      <c r="BD31" s="707"/>
      <c r="BE31" s="707"/>
      <c r="BF31" s="707"/>
      <c r="BG31" s="707"/>
      <c r="BH31" s="707"/>
      <c r="BI31" s="707"/>
      <c r="BJ31" s="707"/>
      <c r="BK31" s="707"/>
      <c r="BL31" s="707"/>
      <c r="BM31" s="707"/>
      <c r="BN31" s="707"/>
      <c r="BO31" s="707"/>
      <c r="BP31" s="707"/>
      <c r="BQ31" s="707"/>
      <c r="BR31" s="707"/>
      <c r="BS31" s="707"/>
      <c r="BT31" s="707"/>
      <c r="BU31" s="707"/>
      <c r="BV31" s="707"/>
      <c r="BW31" s="707"/>
      <c r="BX31" s="707"/>
      <c r="BY31" s="707"/>
      <c r="BZ31" s="707"/>
    </row>
    <row r="32" spans="1:78" ht="15">
      <c r="A32" s="707"/>
      <c r="B32" s="711"/>
      <c r="C32" s="711"/>
      <c r="D32" s="711"/>
      <c r="E32" s="711"/>
      <c r="F32" s="711"/>
      <c r="G32" s="711"/>
      <c r="H32" s="712"/>
      <c r="I32" s="712"/>
      <c r="J32" s="712"/>
      <c r="K32" s="712"/>
      <c r="L32" s="712"/>
      <c r="M32" s="712"/>
      <c r="N32" s="712"/>
      <c r="O32" s="712"/>
      <c r="P32" s="711"/>
      <c r="Q32" s="711"/>
      <c r="R32" s="711"/>
      <c r="S32" s="711"/>
      <c r="T32" s="711"/>
      <c r="U32" s="711"/>
      <c r="V32" s="711"/>
      <c r="W32" s="711"/>
      <c r="X32" s="711"/>
      <c r="Y32" s="711"/>
      <c r="Z32" s="711"/>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7"/>
      <c r="AX32" s="707"/>
      <c r="AY32" s="707"/>
      <c r="AZ32" s="707"/>
      <c r="BA32" s="707"/>
      <c r="BB32" s="707"/>
      <c r="BC32" s="707"/>
      <c r="BD32" s="707"/>
      <c r="BE32" s="707"/>
      <c r="BF32" s="707"/>
      <c r="BG32" s="707"/>
      <c r="BH32" s="707"/>
      <c r="BI32" s="707"/>
      <c r="BJ32" s="707"/>
      <c r="BK32" s="707"/>
      <c r="BL32" s="707"/>
      <c r="BM32" s="707"/>
      <c r="BN32" s="707"/>
      <c r="BO32" s="707"/>
      <c r="BP32" s="707"/>
      <c r="BQ32" s="707"/>
      <c r="BR32" s="707"/>
      <c r="BS32" s="707"/>
      <c r="BT32" s="707"/>
      <c r="BU32" s="707"/>
      <c r="BV32" s="707"/>
      <c r="BW32" s="707"/>
      <c r="BX32" s="707"/>
      <c r="BY32" s="707"/>
      <c r="BZ32" s="707"/>
    </row>
    <row r="33" spans="1:78" ht="15">
      <c r="A33" s="707"/>
      <c r="B33" s="711"/>
      <c r="C33" s="711"/>
      <c r="D33" s="711"/>
      <c r="E33" s="711"/>
      <c r="F33" s="711"/>
      <c r="G33" s="711"/>
      <c r="H33" s="712"/>
      <c r="I33" s="712"/>
      <c r="J33" s="712"/>
      <c r="K33" s="712"/>
      <c r="L33" s="712"/>
      <c r="M33" s="712"/>
      <c r="N33" s="712"/>
      <c r="O33" s="712"/>
      <c r="P33" s="711"/>
      <c r="Q33" s="711"/>
      <c r="R33" s="711"/>
      <c r="S33" s="711"/>
      <c r="T33" s="711"/>
      <c r="U33" s="711"/>
      <c r="V33" s="711"/>
      <c r="W33" s="711"/>
      <c r="X33" s="711"/>
      <c r="Y33" s="711"/>
      <c r="Z33" s="711"/>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c r="BA33" s="707"/>
      <c r="BB33" s="707"/>
      <c r="BC33" s="707"/>
      <c r="BD33" s="707"/>
      <c r="BE33" s="707"/>
      <c r="BF33" s="707"/>
      <c r="BG33" s="707"/>
      <c r="BH33" s="707"/>
      <c r="BI33" s="707"/>
      <c r="BJ33" s="707"/>
      <c r="BK33" s="707"/>
      <c r="BL33" s="707"/>
      <c r="BM33" s="707"/>
      <c r="BN33" s="707"/>
      <c r="BO33" s="707"/>
      <c r="BP33" s="707"/>
      <c r="BQ33" s="707"/>
      <c r="BR33" s="707"/>
      <c r="BS33" s="707"/>
      <c r="BT33" s="707"/>
      <c r="BU33" s="707"/>
      <c r="BV33" s="707"/>
      <c r="BW33" s="707"/>
      <c r="BX33" s="707"/>
      <c r="BY33" s="707"/>
      <c r="BZ33" s="707"/>
    </row>
    <row r="34" spans="1:78" ht="18.75">
      <c r="A34" s="707"/>
      <c r="B34" s="1125" t="s">
        <v>790</v>
      </c>
      <c r="C34" s="1125"/>
      <c r="D34" s="1125"/>
      <c r="E34" s="1125"/>
      <c r="F34" s="1125"/>
      <c r="G34" s="1125"/>
      <c r="H34" s="1125"/>
      <c r="I34" s="1125"/>
      <c r="J34" s="1125"/>
      <c r="K34" s="1125"/>
      <c r="L34" s="1125"/>
      <c r="M34" s="1125"/>
      <c r="N34" s="1125"/>
      <c r="O34" s="1125"/>
      <c r="P34" s="1125"/>
      <c r="Q34" s="1125"/>
      <c r="R34" s="1125"/>
      <c r="S34" s="1125"/>
      <c r="T34" s="1125"/>
      <c r="U34" s="1125"/>
      <c r="V34" s="1125"/>
      <c r="W34" s="1125"/>
      <c r="X34" s="1125"/>
      <c r="Y34" s="1125"/>
      <c r="Z34" s="1125"/>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7"/>
      <c r="AY34" s="707"/>
      <c r="AZ34" s="707"/>
      <c r="BA34" s="707"/>
      <c r="BB34" s="707"/>
      <c r="BC34" s="707"/>
      <c r="BD34" s="707"/>
      <c r="BE34" s="707"/>
      <c r="BF34" s="707"/>
      <c r="BG34" s="707"/>
      <c r="BH34" s="707"/>
      <c r="BI34" s="707"/>
      <c r="BJ34" s="707"/>
      <c r="BK34" s="707"/>
      <c r="BL34" s="707"/>
      <c r="BM34" s="707"/>
      <c r="BN34" s="707"/>
      <c r="BO34" s="707"/>
      <c r="BP34" s="707"/>
      <c r="BQ34" s="707"/>
      <c r="BR34" s="707"/>
      <c r="BS34" s="707"/>
      <c r="BT34" s="707"/>
      <c r="BU34" s="707"/>
      <c r="BV34" s="707"/>
      <c r="BW34" s="707"/>
      <c r="BX34" s="707"/>
      <c r="BY34" s="707"/>
      <c r="BZ34" s="707"/>
    </row>
    <row r="35" spans="1:78" ht="15">
      <c r="A35" s="707"/>
      <c r="B35" s="709"/>
      <c r="C35" s="709"/>
      <c r="D35" s="709"/>
      <c r="E35" s="709"/>
      <c r="F35" s="709"/>
      <c r="G35" s="709"/>
      <c r="H35" s="710"/>
      <c r="I35" s="710"/>
      <c r="J35" s="710"/>
      <c r="K35" s="710"/>
      <c r="L35" s="710"/>
      <c r="M35" s="710"/>
      <c r="N35" s="710"/>
      <c r="O35" s="710"/>
      <c r="P35" s="709"/>
      <c r="Q35" s="709"/>
      <c r="R35" s="709"/>
      <c r="S35" s="709"/>
      <c r="T35" s="709"/>
      <c r="U35" s="709"/>
      <c r="V35" s="709"/>
      <c r="W35" s="709"/>
      <c r="X35" s="709"/>
      <c r="Y35" s="709"/>
      <c r="Z35" s="709"/>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c r="BA35" s="707"/>
      <c r="BB35" s="707"/>
      <c r="BC35" s="707"/>
      <c r="BD35" s="707"/>
      <c r="BE35" s="707"/>
      <c r="BF35" s="707"/>
      <c r="BG35" s="707"/>
      <c r="BH35" s="707"/>
      <c r="BI35" s="707"/>
      <c r="BJ35" s="707"/>
      <c r="BK35" s="707"/>
      <c r="BL35" s="707"/>
      <c r="BM35" s="707"/>
      <c r="BN35" s="707"/>
      <c r="BO35" s="707"/>
      <c r="BP35" s="707"/>
      <c r="BQ35" s="707"/>
      <c r="BR35" s="707"/>
      <c r="BS35" s="707"/>
      <c r="BT35" s="707"/>
      <c r="BU35" s="707"/>
      <c r="BV35" s="707"/>
      <c r="BW35" s="707"/>
      <c r="BX35" s="707"/>
      <c r="BY35" s="707"/>
      <c r="BZ35" s="707"/>
    </row>
    <row r="36" spans="1:78" ht="15">
      <c r="A36" s="707"/>
      <c r="B36" s="707"/>
      <c r="C36" s="707"/>
      <c r="D36" s="707"/>
      <c r="E36" s="707"/>
      <c r="F36" s="707"/>
      <c r="G36" s="707"/>
      <c r="H36" s="708"/>
      <c r="I36" s="708"/>
      <c r="J36" s="708"/>
      <c r="K36" s="708"/>
      <c r="L36" s="708"/>
      <c r="M36" s="708"/>
      <c r="N36" s="708"/>
      <c r="O36" s="708"/>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07"/>
      <c r="BS36" s="707"/>
      <c r="BT36" s="707"/>
      <c r="BU36" s="707"/>
      <c r="BV36" s="707"/>
      <c r="BW36" s="707"/>
      <c r="BX36" s="707"/>
      <c r="BY36" s="707"/>
      <c r="BZ36" s="707"/>
    </row>
    <row r="37" spans="1:78" ht="15">
      <c r="A37" s="707"/>
      <c r="B37" s="707"/>
      <c r="C37" s="707"/>
      <c r="D37" s="707"/>
      <c r="E37" s="707"/>
      <c r="F37" s="707"/>
      <c r="G37" s="707"/>
      <c r="H37" s="708"/>
      <c r="I37" s="708"/>
      <c r="J37" s="708"/>
      <c r="K37" s="708"/>
      <c r="L37" s="708"/>
      <c r="M37" s="708"/>
      <c r="N37" s="708"/>
      <c r="O37" s="708"/>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7"/>
      <c r="BJ37" s="707"/>
      <c r="BK37" s="707"/>
      <c r="BL37" s="707"/>
      <c r="BM37" s="707"/>
      <c r="BN37" s="707"/>
      <c r="BO37" s="707"/>
      <c r="BP37" s="707"/>
      <c r="BQ37" s="707"/>
      <c r="BR37" s="707"/>
      <c r="BS37" s="707"/>
      <c r="BT37" s="707"/>
      <c r="BU37" s="707"/>
      <c r="BV37" s="707"/>
      <c r="BW37" s="707"/>
      <c r="BX37" s="707"/>
      <c r="BY37" s="707"/>
      <c r="BZ37" s="707"/>
    </row>
    <row r="38" spans="1:78" ht="15">
      <c r="A38" s="707"/>
      <c r="B38" s="707"/>
      <c r="C38" s="707"/>
      <c r="D38" s="707"/>
      <c r="E38" s="707"/>
      <c r="F38" s="707"/>
      <c r="G38" s="707"/>
      <c r="H38" s="708"/>
      <c r="I38" s="708"/>
      <c r="J38" s="708"/>
      <c r="K38" s="708"/>
      <c r="L38" s="708"/>
      <c r="M38" s="708"/>
      <c r="N38" s="708"/>
      <c r="O38" s="708"/>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7"/>
      <c r="BJ38" s="707"/>
      <c r="BK38" s="707"/>
      <c r="BL38" s="707"/>
      <c r="BM38" s="707"/>
      <c r="BN38" s="707"/>
      <c r="BO38" s="707"/>
      <c r="BP38" s="707"/>
      <c r="BQ38" s="707"/>
      <c r="BR38" s="707"/>
      <c r="BS38" s="707"/>
      <c r="BT38" s="707"/>
      <c r="BU38" s="707"/>
      <c r="BV38" s="707"/>
      <c r="BW38" s="707"/>
      <c r="BX38" s="707"/>
      <c r="BY38" s="707"/>
      <c r="BZ38" s="707"/>
    </row>
    <row r="39" spans="1:78" ht="15">
      <c r="A39" s="707"/>
      <c r="B39" s="707"/>
      <c r="C39" s="707"/>
      <c r="D39" s="707"/>
      <c r="E39" s="707"/>
      <c r="F39" s="707"/>
      <c r="G39" s="707"/>
      <c r="H39" s="708"/>
      <c r="I39" s="708"/>
      <c r="J39" s="708"/>
      <c r="K39" s="708"/>
      <c r="L39" s="708"/>
      <c r="M39" s="708"/>
      <c r="N39" s="708"/>
      <c r="O39" s="708"/>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707"/>
      <c r="BP39" s="707"/>
      <c r="BQ39" s="707"/>
      <c r="BR39" s="707"/>
      <c r="BS39" s="707"/>
      <c r="BT39" s="707"/>
      <c r="BU39" s="707"/>
      <c r="BV39" s="707"/>
      <c r="BW39" s="707"/>
      <c r="BX39" s="707"/>
      <c r="BY39" s="707"/>
      <c r="BZ39" s="707"/>
    </row>
    <row r="40" spans="1:78" ht="15">
      <c r="A40" s="707"/>
      <c r="B40" s="707"/>
      <c r="C40" s="707"/>
      <c r="D40" s="707"/>
      <c r="E40" s="707"/>
      <c r="F40" s="707"/>
      <c r="G40" s="707"/>
      <c r="H40" s="708"/>
      <c r="I40" s="708"/>
      <c r="J40" s="708"/>
      <c r="K40" s="708"/>
      <c r="L40" s="708"/>
      <c r="M40" s="708"/>
      <c r="N40" s="708"/>
      <c r="O40" s="708"/>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s="707"/>
      <c r="BP40" s="707"/>
      <c r="BQ40" s="707"/>
      <c r="BR40" s="707"/>
      <c r="BS40" s="707"/>
      <c r="BT40" s="707"/>
      <c r="BU40" s="707"/>
      <c r="BV40" s="707"/>
      <c r="BW40" s="707"/>
      <c r="BX40" s="707"/>
      <c r="BY40" s="707"/>
      <c r="BZ40" s="707"/>
    </row>
    <row r="41" spans="1:78" ht="15">
      <c r="A41" s="707"/>
      <c r="B41" s="707"/>
      <c r="C41" s="707"/>
      <c r="D41" s="707"/>
      <c r="E41" s="707"/>
      <c r="F41" s="707"/>
      <c r="G41" s="707"/>
      <c r="H41" s="708"/>
      <c r="I41" s="708"/>
      <c r="J41" s="708"/>
      <c r="K41" s="708"/>
      <c r="L41" s="708"/>
      <c r="M41" s="708"/>
      <c r="N41" s="708"/>
      <c r="O41" s="708"/>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707"/>
      <c r="BP41" s="707"/>
      <c r="BQ41" s="707"/>
      <c r="BR41" s="707"/>
      <c r="BS41" s="707"/>
      <c r="BT41" s="707"/>
      <c r="BU41" s="707"/>
      <c r="BV41" s="707"/>
      <c r="BW41" s="707"/>
      <c r="BX41" s="707"/>
      <c r="BY41" s="707"/>
      <c r="BZ41" s="707"/>
    </row>
    <row r="42" spans="1:78" ht="15">
      <c r="A42" s="707"/>
      <c r="B42" s="707"/>
      <c r="C42" s="707"/>
      <c r="D42" s="707"/>
      <c r="E42" s="707"/>
      <c r="F42" s="707"/>
      <c r="G42" s="707"/>
      <c r="H42" s="708"/>
      <c r="I42" s="708"/>
      <c r="J42" s="708"/>
      <c r="K42" s="708"/>
      <c r="L42" s="708"/>
      <c r="M42" s="708"/>
      <c r="N42" s="708"/>
      <c r="O42" s="708"/>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c r="BO42" s="707"/>
      <c r="BP42" s="707"/>
      <c r="BQ42" s="707"/>
      <c r="BR42" s="707"/>
      <c r="BS42" s="707"/>
      <c r="BT42" s="707"/>
      <c r="BU42" s="707"/>
      <c r="BV42" s="707"/>
      <c r="BW42" s="707"/>
      <c r="BX42" s="707"/>
      <c r="BY42" s="707"/>
      <c r="BZ42" s="707"/>
    </row>
    <row r="43" spans="1:78" ht="15">
      <c r="A43" s="707"/>
      <c r="B43" s="707"/>
      <c r="C43" s="707"/>
      <c r="D43" s="707"/>
      <c r="E43" s="707"/>
      <c r="F43" s="707"/>
      <c r="G43" s="707"/>
      <c r="H43" s="708"/>
      <c r="I43" s="708"/>
      <c r="J43" s="708"/>
      <c r="K43" s="708"/>
      <c r="L43" s="708"/>
      <c r="M43" s="708"/>
      <c r="N43" s="708"/>
      <c r="O43" s="708"/>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7"/>
      <c r="BK43" s="707"/>
      <c r="BL43" s="707"/>
      <c r="BM43" s="707"/>
      <c r="BN43" s="707"/>
      <c r="BO43" s="707"/>
      <c r="BP43" s="707"/>
      <c r="BQ43" s="707"/>
      <c r="BR43" s="707"/>
      <c r="BS43" s="707"/>
      <c r="BT43" s="707"/>
      <c r="BU43" s="707"/>
      <c r="BV43" s="707"/>
      <c r="BW43" s="707"/>
      <c r="BX43" s="707"/>
      <c r="BY43" s="707"/>
      <c r="BZ43" s="707"/>
    </row>
    <row r="44" spans="1:78" ht="15">
      <c r="A44" s="707"/>
      <c r="B44" s="707"/>
      <c r="C44" s="707"/>
      <c r="D44" s="707"/>
      <c r="E44" s="707"/>
      <c r="F44" s="707"/>
      <c r="G44" s="707"/>
      <c r="H44" s="708"/>
      <c r="I44" s="708"/>
      <c r="J44" s="708"/>
      <c r="K44" s="708"/>
      <c r="L44" s="708"/>
      <c r="M44" s="708"/>
      <c r="N44" s="708"/>
      <c r="O44" s="708"/>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707"/>
      <c r="BP44" s="707"/>
      <c r="BQ44" s="707"/>
      <c r="BR44" s="707"/>
      <c r="BS44" s="707"/>
      <c r="BT44" s="707"/>
      <c r="BU44" s="707"/>
      <c r="BV44" s="707"/>
      <c r="BW44" s="707"/>
      <c r="BX44" s="707"/>
      <c r="BY44" s="707"/>
      <c r="BZ44" s="707"/>
    </row>
    <row r="45" spans="1:78" ht="15">
      <c r="A45" s="707"/>
      <c r="B45" s="707"/>
      <c r="C45" s="707"/>
      <c r="D45" s="707"/>
      <c r="E45" s="707"/>
      <c r="F45" s="707"/>
      <c r="G45" s="707"/>
      <c r="H45" s="708"/>
      <c r="I45" s="708"/>
      <c r="J45" s="708"/>
      <c r="K45" s="708"/>
      <c r="L45" s="708"/>
      <c r="M45" s="708"/>
      <c r="N45" s="708"/>
      <c r="O45" s="708"/>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07"/>
      <c r="BY45" s="707"/>
      <c r="BZ45" s="707"/>
    </row>
    <row r="46" spans="1:78" ht="15">
      <c r="A46" s="707"/>
      <c r="B46" s="707"/>
      <c r="C46" s="707"/>
      <c r="D46" s="707"/>
      <c r="E46" s="707"/>
      <c r="F46" s="707"/>
      <c r="G46" s="707"/>
      <c r="H46" s="708"/>
      <c r="I46" s="708"/>
      <c r="J46" s="708"/>
      <c r="K46" s="708"/>
      <c r="L46" s="708"/>
      <c r="M46" s="708"/>
      <c r="N46" s="708"/>
      <c r="O46" s="708"/>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07"/>
      <c r="BK46" s="707"/>
      <c r="BL46" s="707"/>
      <c r="BM46" s="707"/>
      <c r="BN46" s="707"/>
      <c r="BO46" s="707"/>
      <c r="BP46" s="707"/>
      <c r="BQ46" s="707"/>
      <c r="BR46" s="707"/>
      <c r="BS46" s="707"/>
      <c r="BT46" s="707"/>
      <c r="BU46" s="707"/>
      <c r="BV46" s="707"/>
      <c r="BW46" s="707"/>
      <c r="BX46" s="707"/>
      <c r="BY46" s="707"/>
      <c r="BZ46" s="707"/>
    </row>
    <row r="47" spans="1:78" ht="15">
      <c r="A47" s="707"/>
      <c r="B47" s="707"/>
      <c r="C47" s="707"/>
      <c r="D47" s="707"/>
      <c r="E47" s="707"/>
      <c r="F47" s="707"/>
      <c r="G47" s="707"/>
      <c r="H47" s="708"/>
      <c r="I47" s="708"/>
      <c r="J47" s="708"/>
      <c r="K47" s="708"/>
      <c r="L47" s="708"/>
      <c r="M47" s="708"/>
      <c r="N47" s="708"/>
      <c r="O47" s="708"/>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707"/>
      <c r="BP47" s="707"/>
      <c r="BQ47" s="707"/>
      <c r="BR47" s="707"/>
      <c r="BS47" s="707"/>
      <c r="BT47" s="707"/>
      <c r="BU47" s="707"/>
      <c r="BV47" s="707"/>
      <c r="BW47" s="707"/>
      <c r="BX47" s="707"/>
      <c r="BY47" s="707"/>
      <c r="BZ47" s="707"/>
    </row>
    <row r="48" spans="1:78" ht="15">
      <c r="A48" s="707"/>
      <c r="B48" s="707"/>
      <c r="C48" s="707"/>
      <c r="D48" s="707"/>
      <c r="E48" s="707"/>
      <c r="F48" s="707"/>
      <c r="G48" s="707"/>
      <c r="H48" s="708"/>
      <c r="I48" s="708"/>
      <c r="J48" s="708"/>
      <c r="K48" s="708"/>
      <c r="L48" s="708"/>
      <c r="M48" s="708"/>
      <c r="N48" s="708"/>
      <c r="O48" s="708"/>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s="707"/>
      <c r="BP48" s="707"/>
      <c r="BQ48" s="707"/>
      <c r="BR48" s="707"/>
      <c r="BS48" s="707"/>
      <c r="BT48" s="707"/>
      <c r="BU48" s="707"/>
      <c r="BV48" s="707"/>
      <c r="BW48" s="707"/>
      <c r="BX48" s="707"/>
      <c r="BY48" s="707"/>
      <c r="BZ48" s="707"/>
    </row>
    <row r="49" spans="1:78" ht="15">
      <c r="A49" s="707"/>
      <c r="B49" s="707"/>
      <c r="C49" s="707"/>
      <c r="D49" s="707"/>
      <c r="E49" s="707"/>
      <c r="F49" s="707"/>
      <c r="G49" s="707"/>
      <c r="H49" s="708"/>
      <c r="I49" s="708"/>
      <c r="J49" s="708"/>
      <c r="K49" s="708"/>
      <c r="L49" s="708"/>
      <c r="M49" s="708"/>
      <c r="N49" s="708"/>
      <c r="O49" s="708"/>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s="707"/>
      <c r="BP49" s="707"/>
      <c r="BQ49" s="707"/>
      <c r="BR49" s="707"/>
      <c r="BS49" s="707"/>
      <c r="BT49" s="707"/>
      <c r="BU49" s="707"/>
      <c r="BV49" s="707"/>
      <c r="BW49" s="707"/>
      <c r="BX49" s="707"/>
      <c r="BY49" s="707"/>
      <c r="BZ49" s="707"/>
    </row>
    <row r="50" spans="1:78" ht="15">
      <c r="A50" s="707"/>
      <c r="B50" s="707"/>
      <c r="C50" s="707"/>
      <c r="D50" s="707"/>
      <c r="E50" s="707"/>
      <c r="F50" s="707"/>
      <c r="G50" s="707"/>
      <c r="H50" s="708"/>
      <c r="I50" s="708"/>
      <c r="J50" s="708"/>
      <c r="K50" s="708"/>
      <c r="L50" s="708"/>
      <c r="M50" s="708"/>
      <c r="N50" s="708"/>
      <c r="O50" s="708"/>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07"/>
      <c r="AY50" s="707"/>
      <c r="AZ50" s="707"/>
      <c r="BA50" s="707"/>
      <c r="BB50" s="707"/>
      <c r="BC50" s="707"/>
      <c r="BD50" s="707"/>
      <c r="BE50" s="707"/>
      <c r="BF50" s="707"/>
      <c r="BG50" s="707"/>
      <c r="BH50" s="707"/>
      <c r="BI50" s="707"/>
      <c r="BJ50" s="707"/>
      <c r="BK50" s="707"/>
      <c r="BL50" s="707"/>
      <c r="BM50" s="707"/>
      <c r="BN50" s="707"/>
      <c r="BO50" s="707"/>
      <c r="BP50" s="707"/>
      <c r="BQ50" s="707"/>
      <c r="BR50" s="707"/>
      <c r="BS50" s="707"/>
      <c r="BT50" s="707"/>
      <c r="BU50" s="707"/>
      <c r="BV50" s="707"/>
      <c r="BW50" s="707"/>
      <c r="BX50" s="707"/>
      <c r="BY50" s="707"/>
      <c r="BZ50" s="707"/>
    </row>
    <row r="51" spans="1:78" ht="15">
      <c r="A51" s="707"/>
      <c r="B51" s="707"/>
      <c r="C51" s="707"/>
      <c r="D51" s="707"/>
      <c r="E51" s="707"/>
      <c r="F51" s="707"/>
      <c r="G51" s="707"/>
      <c r="H51" s="708"/>
      <c r="I51" s="708"/>
      <c r="J51" s="708"/>
      <c r="K51" s="708"/>
      <c r="L51" s="708"/>
      <c r="M51" s="708"/>
      <c r="N51" s="708"/>
      <c r="O51" s="708"/>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7"/>
      <c r="AO51" s="707"/>
      <c r="AP51" s="707"/>
      <c r="AQ51" s="707"/>
      <c r="AR51" s="707"/>
      <c r="AS51" s="707"/>
      <c r="AT51" s="707"/>
      <c r="AU51" s="707"/>
      <c r="AV51" s="707"/>
      <c r="AW51" s="707"/>
      <c r="AX51" s="707"/>
      <c r="AY51" s="707"/>
      <c r="AZ51" s="707"/>
      <c r="BA51" s="707"/>
      <c r="BB51" s="707"/>
      <c r="BC51" s="707"/>
      <c r="BD51" s="707"/>
      <c r="BE51" s="707"/>
      <c r="BF51" s="707"/>
      <c r="BG51" s="707"/>
      <c r="BH51" s="707"/>
      <c r="BI51" s="707"/>
      <c r="BJ51" s="707"/>
      <c r="BK51" s="707"/>
      <c r="BL51" s="707"/>
      <c r="BM51" s="707"/>
      <c r="BN51" s="707"/>
      <c r="BO51" s="707"/>
      <c r="BP51" s="707"/>
      <c r="BQ51" s="707"/>
      <c r="BR51" s="707"/>
      <c r="BS51" s="707"/>
      <c r="BT51" s="707"/>
      <c r="BU51" s="707"/>
      <c r="BV51" s="707"/>
      <c r="BW51" s="707"/>
      <c r="BX51" s="707"/>
      <c r="BY51" s="707"/>
      <c r="BZ51" s="707"/>
    </row>
    <row r="52" spans="1:78" ht="15">
      <c r="A52" s="707"/>
      <c r="B52" s="707"/>
      <c r="C52" s="707"/>
      <c r="D52" s="707"/>
      <c r="E52" s="707"/>
      <c r="F52" s="707"/>
      <c r="G52" s="707"/>
      <c r="H52" s="708"/>
      <c r="I52" s="708"/>
      <c r="J52" s="708"/>
      <c r="K52" s="708"/>
      <c r="L52" s="708"/>
      <c r="M52" s="708"/>
      <c r="N52" s="708"/>
      <c r="O52" s="708"/>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07"/>
      <c r="BL52" s="707"/>
      <c r="BM52" s="707"/>
      <c r="BN52" s="707"/>
      <c r="BO52" s="707"/>
      <c r="BP52" s="707"/>
      <c r="BQ52" s="707"/>
      <c r="BR52" s="707"/>
      <c r="BS52" s="707"/>
      <c r="BT52" s="707"/>
      <c r="BU52" s="707"/>
      <c r="BV52" s="707"/>
      <c r="BW52" s="707"/>
      <c r="BX52" s="707"/>
      <c r="BY52" s="707"/>
      <c r="BZ52" s="707"/>
    </row>
    <row r="53" spans="1:78" ht="15">
      <c r="A53" s="707"/>
      <c r="B53" s="707"/>
      <c r="C53" s="707"/>
      <c r="D53" s="707"/>
      <c r="E53" s="707"/>
      <c r="F53" s="707"/>
      <c r="G53" s="707"/>
      <c r="H53" s="708"/>
      <c r="I53" s="708"/>
      <c r="J53" s="708"/>
      <c r="K53" s="708"/>
      <c r="L53" s="708"/>
      <c r="M53" s="708"/>
      <c r="N53" s="708"/>
      <c r="O53" s="708"/>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c r="BA53" s="707"/>
      <c r="BB53" s="707"/>
      <c r="BC53" s="707"/>
      <c r="BD53" s="707"/>
      <c r="BE53" s="707"/>
      <c r="BF53" s="707"/>
      <c r="BG53" s="707"/>
      <c r="BH53" s="707"/>
      <c r="BI53" s="707"/>
      <c r="BJ53" s="707"/>
      <c r="BK53" s="707"/>
      <c r="BL53" s="707"/>
      <c r="BM53" s="707"/>
      <c r="BN53" s="707"/>
      <c r="BO53" s="707"/>
      <c r="BP53" s="707"/>
      <c r="BQ53" s="707"/>
      <c r="BR53" s="707"/>
      <c r="BS53" s="707"/>
      <c r="BT53" s="707"/>
      <c r="BU53" s="707"/>
      <c r="BV53" s="707"/>
      <c r="BW53" s="707"/>
      <c r="BX53" s="707"/>
      <c r="BY53" s="707"/>
      <c r="BZ53" s="707"/>
    </row>
    <row r="54" spans="1:78" ht="15">
      <c r="A54" s="707"/>
      <c r="B54" s="707"/>
      <c r="C54" s="707"/>
      <c r="D54" s="707"/>
      <c r="E54" s="707"/>
      <c r="F54" s="707"/>
      <c r="G54" s="707"/>
      <c r="H54" s="708"/>
      <c r="I54" s="708"/>
      <c r="J54" s="708"/>
      <c r="K54" s="708"/>
      <c r="L54" s="708"/>
      <c r="M54" s="708"/>
      <c r="N54" s="708"/>
      <c r="O54" s="708"/>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c r="BC54" s="707"/>
      <c r="BD54" s="707"/>
      <c r="BE54" s="707"/>
      <c r="BF54" s="707"/>
      <c r="BG54" s="707"/>
      <c r="BH54" s="707"/>
      <c r="BI54" s="707"/>
      <c r="BJ54" s="707"/>
      <c r="BK54" s="707"/>
      <c r="BL54" s="707"/>
      <c r="BM54" s="707"/>
      <c r="BN54" s="707"/>
      <c r="BO54" s="707"/>
      <c r="BP54" s="707"/>
      <c r="BQ54" s="707"/>
      <c r="BR54" s="707"/>
      <c r="BS54" s="707"/>
      <c r="BT54" s="707"/>
      <c r="BU54" s="707"/>
      <c r="BV54" s="707"/>
      <c r="BW54" s="707"/>
      <c r="BX54" s="707"/>
      <c r="BY54" s="707"/>
      <c r="BZ54" s="707"/>
    </row>
    <row r="55" spans="1:78" ht="15">
      <c r="A55" s="707"/>
      <c r="B55" s="707"/>
      <c r="C55" s="707"/>
      <c r="D55" s="707"/>
      <c r="E55" s="707"/>
      <c r="F55" s="707"/>
      <c r="G55" s="707"/>
      <c r="H55" s="708"/>
      <c r="I55" s="708"/>
      <c r="J55" s="708"/>
      <c r="K55" s="708"/>
      <c r="L55" s="708"/>
      <c r="M55" s="708"/>
      <c r="N55" s="708"/>
      <c r="O55" s="708"/>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c r="BA55" s="707"/>
      <c r="BB55" s="707"/>
      <c r="BC55" s="707"/>
      <c r="BD55" s="707"/>
      <c r="BE55" s="707"/>
      <c r="BF55" s="707"/>
      <c r="BG55" s="707"/>
      <c r="BH55" s="707"/>
      <c r="BI55" s="707"/>
      <c r="BJ55" s="707"/>
      <c r="BK55" s="707"/>
      <c r="BL55" s="707"/>
      <c r="BM55" s="707"/>
      <c r="BN55" s="707"/>
      <c r="BO55" s="707"/>
      <c r="BP55" s="707"/>
      <c r="BQ55" s="707"/>
      <c r="BR55" s="707"/>
      <c r="BS55" s="707"/>
      <c r="BT55" s="707"/>
      <c r="BU55" s="707"/>
      <c r="BV55" s="707"/>
      <c r="BW55" s="707"/>
      <c r="BX55" s="707"/>
      <c r="BY55" s="707"/>
      <c r="BZ55" s="707"/>
    </row>
    <row r="56" spans="1:78" ht="15">
      <c r="A56" s="707"/>
      <c r="B56" s="707"/>
      <c r="C56" s="707"/>
      <c r="D56" s="707"/>
      <c r="E56" s="707"/>
      <c r="F56" s="707"/>
      <c r="G56" s="707"/>
      <c r="H56" s="708"/>
      <c r="I56" s="708"/>
      <c r="J56" s="708"/>
      <c r="K56" s="708"/>
      <c r="L56" s="708"/>
      <c r="M56" s="708"/>
      <c r="N56" s="708"/>
      <c r="O56" s="708"/>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c r="BA56" s="707"/>
      <c r="BB56" s="707"/>
      <c r="BC56" s="707"/>
      <c r="BD56" s="707"/>
      <c r="BE56" s="707"/>
      <c r="BF56" s="707"/>
      <c r="BG56" s="707"/>
      <c r="BH56" s="707"/>
      <c r="BI56" s="707"/>
      <c r="BJ56" s="707"/>
      <c r="BK56" s="707"/>
      <c r="BL56" s="707"/>
      <c r="BM56" s="707"/>
      <c r="BN56" s="707"/>
      <c r="BO56" s="707"/>
      <c r="BP56" s="707"/>
      <c r="BQ56" s="707"/>
      <c r="BR56" s="707"/>
      <c r="BS56" s="707"/>
      <c r="BT56" s="707"/>
      <c r="BU56" s="707"/>
      <c r="BV56" s="707"/>
      <c r="BW56" s="707"/>
      <c r="BX56" s="707"/>
      <c r="BY56" s="707"/>
      <c r="BZ56" s="707"/>
    </row>
    <row r="57" spans="1:78" ht="15">
      <c r="A57" s="707"/>
      <c r="B57" s="707"/>
      <c r="C57" s="707"/>
      <c r="D57" s="707"/>
      <c r="E57" s="707"/>
      <c r="F57" s="707"/>
      <c r="G57" s="707"/>
      <c r="H57" s="708"/>
      <c r="I57" s="708"/>
      <c r="J57" s="708"/>
      <c r="K57" s="708"/>
      <c r="L57" s="708"/>
      <c r="M57" s="708"/>
      <c r="N57" s="708"/>
      <c r="O57" s="708"/>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c r="BA57" s="707"/>
      <c r="BB57" s="707"/>
      <c r="BC57" s="707"/>
      <c r="BD57" s="707"/>
      <c r="BE57" s="707"/>
      <c r="BF57" s="707"/>
      <c r="BG57" s="707"/>
      <c r="BH57" s="707"/>
      <c r="BI57" s="707"/>
      <c r="BJ57" s="707"/>
      <c r="BK57" s="707"/>
      <c r="BL57" s="707"/>
      <c r="BM57" s="707"/>
      <c r="BN57" s="707"/>
      <c r="BO57" s="707"/>
      <c r="BP57" s="707"/>
      <c r="BQ57" s="707"/>
      <c r="BR57" s="707"/>
      <c r="BS57" s="707"/>
      <c r="BT57" s="707"/>
      <c r="BU57" s="707"/>
      <c r="BV57" s="707"/>
      <c r="BW57" s="707"/>
      <c r="BX57" s="707"/>
      <c r="BY57" s="707"/>
      <c r="BZ57" s="707"/>
    </row>
    <row r="58" spans="1:78" ht="15">
      <c r="A58" s="707"/>
      <c r="B58" s="707"/>
      <c r="C58" s="707"/>
      <c r="D58" s="707"/>
      <c r="E58" s="707"/>
      <c r="F58" s="707"/>
      <c r="G58" s="707"/>
      <c r="H58" s="708"/>
      <c r="I58" s="708"/>
      <c r="J58" s="708"/>
      <c r="K58" s="708"/>
      <c r="L58" s="708"/>
      <c r="M58" s="708"/>
      <c r="N58" s="708"/>
      <c r="O58" s="708"/>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c r="BA58" s="707"/>
      <c r="BB58" s="707"/>
      <c r="BC58" s="707"/>
      <c r="BD58" s="707"/>
      <c r="BE58" s="707"/>
      <c r="BF58" s="707"/>
      <c r="BG58" s="707"/>
      <c r="BH58" s="707"/>
      <c r="BI58" s="707"/>
      <c r="BJ58" s="707"/>
      <c r="BK58" s="707"/>
      <c r="BL58" s="707"/>
      <c r="BM58" s="707"/>
      <c r="BN58" s="707"/>
      <c r="BO58" s="707"/>
      <c r="BP58" s="707"/>
      <c r="BQ58" s="707"/>
      <c r="BR58" s="707"/>
      <c r="BS58" s="707"/>
      <c r="BT58" s="707"/>
      <c r="BU58" s="707"/>
      <c r="BV58" s="707"/>
      <c r="BW58" s="707"/>
      <c r="BX58" s="707"/>
      <c r="BY58" s="707"/>
      <c r="BZ58" s="707"/>
    </row>
    <row r="59" spans="1:78" ht="15">
      <c r="A59" s="707"/>
      <c r="B59" s="707"/>
      <c r="C59" s="707"/>
      <c r="D59" s="707"/>
      <c r="E59" s="707"/>
      <c r="F59" s="707"/>
      <c r="G59" s="707"/>
      <c r="H59" s="708"/>
      <c r="I59" s="708"/>
      <c r="J59" s="708"/>
      <c r="K59" s="708"/>
      <c r="L59" s="708"/>
      <c r="M59" s="708"/>
      <c r="N59" s="708"/>
      <c r="O59" s="708"/>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c r="BA59" s="707"/>
      <c r="BB59" s="707"/>
      <c r="BC59" s="707"/>
      <c r="BD59" s="707"/>
      <c r="BE59" s="707"/>
      <c r="BF59" s="707"/>
      <c r="BG59" s="707"/>
      <c r="BH59" s="707"/>
      <c r="BI59" s="707"/>
      <c r="BJ59" s="707"/>
      <c r="BK59" s="707"/>
      <c r="BL59" s="707"/>
      <c r="BM59" s="707"/>
      <c r="BN59" s="707"/>
      <c r="BO59" s="707"/>
      <c r="BP59" s="707"/>
      <c r="BQ59" s="707"/>
      <c r="BR59" s="707"/>
      <c r="BS59" s="707"/>
      <c r="BT59" s="707"/>
      <c r="BU59" s="707"/>
      <c r="BV59" s="707"/>
      <c r="BW59" s="707"/>
      <c r="BX59" s="707"/>
      <c r="BY59" s="707"/>
      <c r="BZ59" s="707"/>
    </row>
    <row r="60" spans="1:78" ht="15">
      <c r="A60" s="707"/>
      <c r="B60" s="707"/>
      <c r="C60" s="707"/>
      <c r="D60" s="707"/>
      <c r="E60" s="707"/>
      <c r="F60" s="707"/>
      <c r="G60" s="707"/>
      <c r="H60" s="708"/>
      <c r="I60" s="708"/>
      <c r="J60" s="708"/>
      <c r="K60" s="708"/>
      <c r="L60" s="708"/>
      <c r="M60" s="708"/>
      <c r="N60" s="708"/>
      <c r="O60" s="708"/>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7"/>
      <c r="AO60" s="707"/>
      <c r="AP60" s="707"/>
      <c r="AQ60" s="707"/>
      <c r="AR60" s="707"/>
      <c r="AS60" s="707"/>
      <c r="AT60" s="707"/>
      <c r="AU60" s="707"/>
      <c r="AV60" s="707"/>
      <c r="AW60" s="707"/>
      <c r="AX60" s="707"/>
      <c r="AY60" s="707"/>
      <c r="AZ60" s="707"/>
      <c r="BA60" s="707"/>
      <c r="BB60" s="707"/>
      <c r="BC60" s="707"/>
      <c r="BD60" s="707"/>
      <c r="BE60" s="707"/>
      <c r="BF60" s="707"/>
      <c r="BG60" s="707"/>
      <c r="BH60" s="707"/>
      <c r="BI60" s="707"/>
      <c r="BJ60" s="707"/>
      <c r="BK60" s="707"/>
      <c r="BL60" s="707"/>
      <c r="BM60" s="707"/>
      <c r="BN60" s="707"/>
      <c r="BO60" s="707"/>
      <c r="BP60" s="707"/>
      <c r="BQ60" s="707"/>
      <c r="BR60" s="707"/>
      <c r="BS60" s="707"/>
      <c r="BT60" s="707"/>
      <c r="BU60" s="707"/>
      <c r="BV60" s="707"/>
      <c r="BW60" s="707"/>
      <c r="BX60" s="707"/>
      <c r="BY60" s="707"/>
      <c r="BZ60" s="707"/>
    </row>
    <row r="61" spans="1:78" ht="15">
      <c r="A61" s="707"/>
      <c r="B61" s="707"/>
      <c r="C61" s="707"/>
      <c r="D61" s="707"/>
      <c r="E61" s="707"/>
      <c r="F61" s="707"/>
      <c r="G61" s="707"/>
      <c r="H61" s="708"/>
      <c r="I61" s="708"/>
      <c r="J61" s="708"/>
      <c r="K61" s="708"/>
      <c r="L61" s="708"/>
      <c r="M61" s="708"/>
      <c r="N61" s="708"/>
      <c r="O61" s="708"/>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7"/>
      <c r="AO61" s="707"/>
      <c r="AP61" s="707"/>
      <c r="AQ61" s="707"/>
      <c r="AR61" s="707"/>
      <c r="AS61" s="707"/>
      <c r="AT61" s="707"/>
      <c r="AU61" s="707"/>
      <c r="AV61" s="707"/>
      <c r="AW61" s="707"/>
      <c r="AX61" s="707"/>
      <c r="AY61" s="707"/>
      <c r="AZ61" s="707"/>
      <c r="BA61" s="707"/>
      <c r="BB61" s="707"/>
      <c r="BC61" s="707"/>
      <c r="BD61" s="707"/>
      <c r="BE61" s="707"/>
      <c r="BF61" s="707"/>
      <c r="BG61" s="707"/>
      <c r="BH61" s="707"/>
      <c r="BI61" s="707"/>
      <c r="BJ61" s="707"/>
      <c r="BK61" s="707"/>
      <c r="BL61" s="707"/>
      <c r="BM61" s="707"/>
      <c r="BN61" s="707"/>
      <c r="BO61" s="707"/>
      <c r="BP61" s="707"/>
      <c r="BQ61" s="707"/>
      <c r="BR61" s="707"/>
      <c r="BS61" s="707"/>
      <c r="BT61" s="707"/>
      <c r="BU61" s="707"/>
      <c r="BV61" s="707"/>
      <c r="BW61" s="707"/>
      <c r="BX61" s="707"/>
      <c r="BY61" s="707"/>
      <c r="BZ61" s="707"/>
    </row>
    <row r="62" spans="1:78" ht="15">
      <c r="A62" s="707"/>
      <c r="B62" s="707"/>
      <c r="C62" s="707"/>
      <c r="D62" s="707"/>
      <c r="E62" s="707"/>
      <c r="F62" s="707"/>
      <c r="G62" s="707"/>
      <c r="H62" s="708"/>
      <c r="I62" s="708"/>
      <c r="J62" s="708"/>
      <c r="K62" s="708"/>
      <c r="L62" s="708"/>
      <c r="M62" s="708"/>
      <c r="N62" s="708"/>
      <c r="O62" s="708"/>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7"/>
      <c r="AN62" s="707"/>
      <c r="AO62" s="707"/>
      <c r="AP62" s="707"/>
      <c r="AQ62" s="707"/>
      <c r="AR62" s="707"/>
      <c r="AS62" s="707"/>
      <c r="AT62" s="707"/>
      <c r="AU62" s="707"/>
      <c r="AV62" s="707"/>
      <c r="AW62" s="707"/>
      <c r="AX62" s="707"/>
      <c r="AY62" s="707"/>
      <c r="AZ62" s="707"/>
      <c r="BA62" s="707"/>
      <c r="BB62" s="707"/>
      <c r="BC62" s="707"/>
      <c r="BD62" s="707"/>
      <c r="BE62" s="707"/>
      <c r="BF62" s="707"/>
      <c r="BG62" s="707"/>
      <c r="BH62" s="707"/>
      <c r="BI62" s="707"/>
      <c r="BJ62" s="707"/>
      <c r="BK62" s="707"/>
      <c r="BL62" s="707"/>
      <c r="BM62" s="707"/>
      <c r="BN62" s="707"/>
      <c r="BO62" s="707"/>
      <c r="BP62" s="707"/>
      <c r="BQ62" s="707"/>
      <c r="BR62" s="707"/>
      <c r="BS62" s="707"/>
      <c r="BT62" s="707"/>
      <c r="BU62" s="707"/>
      <c r="BV62" s="707"/>
      <c r="BW62" s="707"/>
      <c r="BX62" s="707"/>
      <c r="BY62" s="707"/>
      <c r="BZ62" s="707"/>
    </row>
    <row r="63" spans="1:78" ht="15">
      <c r="A63" s="707"/>
      <c r="B63" s="707"/>
      <c r="C63" s="707"/>
      <c r="D63" s="707"/>
      <c r="E63" s="707"/>
      <c r="F63" s="707"/>
      <c r="G63" s="707"/>
      <c r="H63" s="708"/>
      <c r="I63" s="708"/>
      <c r="J63" s="708"/>
      <c r="K63" s="708"/>
      <c r="L63" s="708"/>
      <c r="M63" s="708"/>
      <c r="N63" s="708"/>
      <c r="O63" s="708"/>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c r="BA63" s="707"/>
      <c r="BB63" s="707"/>
      <c r="BC63" s="707"/>
      <c r="BD63" s="707"/>
      <c r="BE63" s="707"/>
      <c r="BF63" s="707"/>
      <c r="BG63" s="707"/>
      <c r="BH63" s="707"/>
      <c r="BI63" s="707"/>
      <c r="BJ63" s="707"/>
      <c r="BK63" s="707"/>
      <c r="BL63" s="707"/>
      <c r="BM63" s="707"/>
      <c r="BN63" s="707"/>
      <c r="BO63" s="707"/>
      <c r="BP63" s="707"/>
      <c r="BQ63" s="707"/>
      <c r="BR63" s="707"/>
      <c r="BS63" s="707"/>
      <c r="BT63" s="707"/>
      <c r="BU63" s="707"/>
      <c r="BV63" s="707"/>
      <c r="BW63" s="707"/>
      <c r="BX63" s="707"/>
      <c r="BY63" s="707"/>
      <c r="BZ63" s="707"/>
    </row>
    <row r="64" spans="1:78" ht="15">
      <c r="A64" s="707"/>
      <c r="B64" s="707"/>
      <c r="C64" s="707"/>
      <c r="D64" s="707"/>
      <c r="E64" s="707"/>
      <c r="F64" s="707"/>
      <c r="G64" s="707"/>
      <c r="H64" s="708"/>
      <c r="I64" s="708"/>
      <c r="J64" s="708"/>
      <c r="K64" s="708"/>
      <c r="L64" s="708"/>
      <c r="M64" s="708"/>
      <c r="N64" s="708"/>
      <c r="O64" s="708"/>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7"/>
      <c r="AY64" s="707"/>
      <c r="AZ64" s="707"/>
      <c r="BA64" s="707"/>
      <c r="BB64" s="707"/>
      <c r="BC64" s="707"/>
      <c r="BD64" s="707"/>
      <c r="BE64" s="707"/>
      <c r="BF64" s="707"/>
      <c r="BG64" s="707"/>
      <c r="BH64" s="707"/>
      <c r="BI64" s="707"/>
      <c r="BJ64" s="707"/>
      <c r="BK64" s="707"/>
      <c r="BL64" s="707"/>
      <c r="BM64" s="707"/>
      <c r="BN64" s="707"/>
      <c r="BO64" s="707"/>
      <c r="BP64" s="707"/>
      <c r="BQ64" s="707"/>
      <c r="BR64" s="707"/>
      <c r="BS64" s="707"/>
      <c r="BT64" s="707"/>
      <c r="BU64" s="707"/>
      <c r="BV64" s="707"/>
      <c r="BW64" s="707"/>
      <c r="BX64" s="707"/>
      <c r="BY64" s="707"/>
      <c r="BZ64" s="707"/>
    </row>
    <row r="65" spans="1:78" ht="15">
      <c r="A65" s="707"/>
      <c r="B65" s="707"/>
      <c r="C65" s="707"/>
      <c r="D65" s="707"/>
      <c r="E65" s="707"/>
      <c r="F65" s="707"/>
      <c r="G65" s="707"/>
      <c r="H65" s="708"/>
      <c r="I65" s="708"/>
      <c r="J65" s="708"/>
      <c r="K65" s="708"/>
      <c r="L65" s="708"/>
      <c r="M65" s="708"/>
      <c r="N65" s="708"/>
      <c r="O65" s="708"/>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c r="BA65" s="707"/>
      <c r="BB65" s="707"/>
      <c r="BC65" s="707"/>
      <c r="BD65" s="707"/>
      <c r="BE65" s="707"/>
      <c r="BF65" s="707"/>
      <c r="BG65" s="707"/>
      <c r="BH65" s="707"/>
      <c r="BI65" s="707"/>
      <c r="BJ65" s="707"/>
      <c r="BK65" s="707"/>
      <c r="BL65" s="707"/>
      <c r="BM65" s="707"/>
      <c r="BN65" s="707"/>
      <c r="BO65" s="707"/>
      <c r="BP65" s="707"/>
      <c r="BQ65" s="707"/>
      <c r="BR65" s="707"/>
      <c r="BS65" s="707"/>
      <c r="BT65" s="707"/>
      <c r="BU65" s="707"/>
      <c r="BV65" s="707"/>
      <c r="BW65" s="707"/>
      <c r="BX65" s="707"/>
      <c r="BY65" s="707"/>
      <c r="BZ65" s="707"/>
    </row>
    <row r="66" spans="1:78" ht="15">
      <c r="A66" s="707"/>
      <c r="B66" s="707"/>
      <c r="C66" s="707"/>
      <c r="D66" s="707"/>
      <c r="E66" s="707"/>
      <c r="F66" s="707"/>
      <c r="G66" s="707"/>
      <c r="H66" s="708"/>
      <c r="I66" s="708"/>
      <c r="J66" s="708"/>
      <c r="K66" s="708"/>
      <c r="L66" s="708"/>
      <c r="M66" s="708"/>
      <c r="N66" s="708"/>
      <c r="O66" s="708"/>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707"/>
      <c r="AR66" s="707"/>
      <c r="AS66" s="707"/>
      <c r="AT66" s="707"/>
      <c r="AU66" s="707"/>
      <c r="AV66" s="707"/>
      <c r="AW66" s="707"/>
      <c r="AX66" s="707"/>
      <c r="AY66" s="707"/>
      <c r="AZ66" s="707"/>
      <c r="BA66" s="707"/>
      <c r="BB66" s="707"/>
      <c r="BC66" s="707"/>
      <c r="BD66" s="707"/>
      <c r="BE66" s="707"/>
      <c r="BF66" s="707"/>
      <c r="BG66" s="707"/>
      <c r="BH66" s="707"/>
      <c r="BI66" s="707"/>
      <c r="BJ66" s="707"/>
      <c r="BK66" s="707"/>
      <c r="BL66" s="707"/>
      <c r="BM66" s="707"/>
      <c r="BN66" s="707"/>
      <c r="BO66" s="707"/>
      <c r="BP66" s="707"/>
      <c r="BQ66" s="707"/>
      <c r="BR66" s="707"/>
      <c r="BS66" s="707"/>
      <c r="BT66" s="707"/>
      <c r="BU66" s="707"/>
      <c r="BV66" s="707"/>
      <c r="BW66" s="707"/>
      <c r="BX66" s="707"/>
      <c r="BY66" s="707"/>
      <c r="BZ66" s="707"/>
    </row>
    <row r="67" spans="1:78" ht="15">
      <c r="A67" s="707"/>
      <c r="B67" s="707"/>
      <c r="C67" s="707"/>
      <c r="D67" s="707"/>
      <c r="E67" s="707"/>
      <c r="F67" s="707"/>
      <c r="G67" s="707"/>
      <c r="H67" s="708"/>
      <c r="I67" s="708"/>
      <c r="J67" s="708"/>
      <c r="K67" s="708"/>
      <c r="L67" s="708"/>
      <c r="M67" s="708"/>
      <c r="N67" s="708"/>
      <c r="O67" s="708"/>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707"/>
      <c r="AZ67" s="707"/>
      <c r="BA67" s="707"/>
      <c r="BB67" s="707"/>
      <c r="BC67" s="707"/>
      <c r="BD67" s="707"/>
      <c r="BE67" s="707"/>
      <c r="BF67" s="707"/>
      <c r="BG67" s="707"/>
      <c r="BH67" s="707"/>
      <c r="BI67" s="707"/>
      <c r="BJ67" s="707"/>
      <c r="BK67" s="707"/>
      <c r="BL67" s="707"/>
      <c r="BM67" s="707"/>
      <c r="BN67" s="707"/>
      <c r="BO67" s="707"/>
      <c r="BP67" s="707"/>
      <c r="BQ67" s="707"/>
      <c r="BR67" s="707"/>
      <c r="BS67" s="707"/>
      <c r="BT67" s="707"/>
      <c r="BU67" s="707"/>
      <c r="BV67" s="707"/>
      <c r="BW67" s="707"/>
      <c r="BX67" s="707"/>
      <c r="BY67" s="707"/>
      <c r="BZ67" s="707"/>
    </row>
    <row r="68" spans="1:78" ht="15">
      <c r="A68" s="707"/>
      <c r="B68" s="707"/>
      <c r="C68" s="707"/>
      <c r="D68" s="707"/>
      <c r="E68" s="707"/>
      <c r="F68" s="707"/>
      <c r="G68" s="707"/>
      <c r="H68" s="708"/>
      <c r="I68" s="708"/>
      <c r="J68" s="708"/>
      <c r="K68" s="708"/>
      <c r="L68" s="708"/>
      <c r="M68" s="708"/>
      <c r="N68" s="708"/>
      <c r="O68" s="708"/>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7"/>
      <c r="AZ68" s="707"/>
      <c r="BA68" s="707"/>
      <c r="BB68" s="707"/>
      <c r="BC68" s="707"/>
      <c r="BD68" s="707"/>
      <c r="BE68" s="707"/>
      <c r="BF68" s="707"/>
      <c r="BG68" s="707"/>
      <c r="BH68" s="707"/>
      <c r="BI68" s="707"/>
      <c r="BJ68" s="707"/>
      <c r="BK68" s="707"/>
      <c r="BL68" s="707"/>
      <c r="BM68" s="707"/>
      <c r="BN68" s="707"/>
      <c r="BO68" s="707"/>
      <c r="BP68" s="707"/>
      <c r="BQ68" s="707"/>
      <c r="BR68" s="707"/>
      <c r="BS68" s="707"/>
      <c r="BT68" s="707"/>
      <c r="BU68" s="707"/>
      <c r="BV68" s="707"/>
      <c r="BW68" s="707"/>
      <c r="BX68" s="707"/>
      <c r="BY68" s="707"/>
      <c r="BZ68" s="707"/>
    </row>
    <row r="69" spans="1:78" ht="15">
      <c r="A69" s="707"/>
      <c r="B69" s="707"/>
      <c r="C69" s="707"/>
      <c r="D69" s="707"/>
      <c r="E69" s="707"/>
      <c r="F69" s="707"/>
      <c r="G69" s="707"/>
      <c r="H69" s="708"/>
      <c r="I69" s="708"/>
      <c r="J69" s="708"/>
      <c r="K69" s="708"/>
      <c r="L69" s="708"/>
      <c r="M69" s="708"/>
      <c r="N69" s="708"/>
      <c r="O69" s="708"/>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707"/>
      <c r="AV69" s="707"/>
      <c r="AW69" s="707"/>
      <c r="AX69" s="707"/>
      <c r="AY69" s="707"/>
      <c r="AZ69" s="707"/>
      <c r="BA69" s="707"/>
      <c r="BB69" s="707"/>
      <c r="BC69" s="707"/>
      <c r="BD69" s="707"/>
      <c r="BE69" s="707"/>
      <c r="BF69" s="707"/>
      <c r="BG69" s="707"/>
      <c r="BH69" s="707"/>
      <c r="BI69" s="707"/>
      <c r="BJ69" s="707"/>
      <c r="BK69" s="707"/>
      <c r="BL69" s="707"/>
      <c r="BM69" s="707"/>
      <c r="BN69" s="707"/>
      <c r="BO69" s="707"/>
      <c r="BP69" s="707"/>
      <c r="BQ69" s="707"/>
      <c r="BR69" s="707"/>
      <c r="BS69" s="707"/>
      <c r="BT69" s="707"/>
      <c r="BU69" s="707"/>
      <c r="BV69" s="707"/>
      <c r="BW69" s="707"/>
      <c r="BX69" s="707"/>
      <c r="BY69" s="707"/>
      <c r="BZ69" s="707"/>
    </row>
    <row r="70" spans="1:78" ht="15">
      <c r="A70" s="707"/>
      <c r="B70" s="707"/>
      <c r="C70" s="707"/>
      <c r="D70" s="707"/>
      <c r="E70" s="707"/>
      <c r="F70" s="707"/>
      <c r="G70" s="707"/>
      <c r="H70" s="708"/>
      <c r="I70" s="708"/>
      <c r="J70" s="708"/>
      <c r="K70" s="708"/>
      <c r="L70" s="708"/>
      <c r="M70" s="708"/>
      <c r="N70" s="708"/>
      <c r="O70" s="708"/>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7"/>
      <c r="AO70" s="707"/>
      <c r="AP70" s="707"/>
      <c r="AQ70" s="707"/>
      <c r="AR70" s="707"/>
      <c r="AS70" s="707"/>
      <c r="AT70" s="707"/>
      <c r="AU70" s="707"/>
      <c r="AV70" s="707"/>
      <c r="AW70" s="707"/>
      <c r="AX70" s="707"/>
      <c r="AY70" s="707"/>
      <c r="AZ70" s="707"/>
      <c r="BA70" s="707"/>
      <c r="BB70" s="707"/>
      <c r="BC70" s="707"/>
      <c r="BD70" s="707"/>
      <c r="BE70" s="707"/>
      <c r="BF70" s="707"/>
      <c r="BG70" s="707"/>
      <c r="BH70" s="707"/>
      <c r="BI70" s="707"/>
      <c r="BJ70" s="707"/>
      <c r="BK70" s="707"/>
      <c r="BL70" s="707"/>
      <c r="BM70" s="707"/>
      <c r="BN70" s="707"/>
      <c r="BO70" s="707"/>
      <c r="BP70" s="707"/>
      <c r="BQ70" s="707"/>
      <c r="BR70" s="707"/>
      <c r="BS70" s="707"/>
      <c r="BT70" s="707"/>
      <c r="BU70" s="707"/>
      <c r="BV70" s="707"/>
      <c r="BW70" s="707"/>
      <c r="BX70" s="707"/>
      <c r="BY70" s="707"/>
      <c r="BZ70" s="707"/>
    </row>
    <row r="71" spans="1:78" ht="15">
      <c r="A71" s="707"/>
      <c r="B71" s="707"/>
      <c r="C71" s="707"/>
      <c r="D71" s="707"/>
      <c r="E71" s="707"/>
      <c r="F71" s="707"/>
      <c r="G71" s="707"/>
      <c r="H71" s="708"/>
      <c r="I71" s="708"/>
      <c r="J71" s="708"/>
      <c r="K71" s="708"/>
      <c r="L71" s="708"/>
      <c r="M71" s="708"/>
      <c r="N71" s="708"/>
      <c r="O71" s="708"/>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7"/>
      <c r="AO71" s="707"/>
      <c r="AP71" s="707"/>
      <c r="AQ71" s="707"/>
      <c r="AR71" s="707"/>
      <c r="AS71" s="707"/>
      <c r="AT71" s="707"/>
      <c r="AU71" s="707"/>
      <c r="AV71" s="707"/>
      <c r="AW71" s="707"/>
      <c r="AX71" s="707"/>
      <c r="AY71" s="707"/>
      <c r="AZ71" s="707"/>
      <c r="BA71" s="707"/>
      <c r="BB71" s="707"/>
      <c r="BC71" s="707"/>
      <c r="BD71" s="707"/>
      <c r="BE71" s="707"/>
      <c r="BF71" s="707"/>
      <c r="BG71" s="707"/>
      <c r="BH71" s="707"/>
      <c r="BI71" s="707"/>
      <c r="BJ71" s="707"/>
      <c r="BK71" s="707"/>
      <c r="BL71" s="707"/>
      <c r="BM71" s="707"/>
      <c r="BN71" s="707"/>
      <c r="BO71" s="707"/>
      <c r="BP71" s="707"/>
      <c r="BQ71" s="707"/>
      <c r="BR71" s="707"/>
      <c r="BS71" s="707"/>
      <c r="BT71" s="707"/>
      <c r="BU71" s="707"/>
      <c r="BV71" s="707"/>
      <c r="BW71" s="707"/>
      <c r="BX71" s="707"/>
      <c r="BY71" s="707"/>
      <c r="BZ71" s="707"/>
    </row>
    <row r="72" spans="1:78" ht="15">
      <c r="A72" s="707"/>
      <c r="B72" s="707"/>
      <c r="C72" s="707"/>
      <c r="D72" s="707"/>
      <c r="E72" s="707"/>
      <c r="F72" s="707"/>
      <c r="G72" s="707"/>
      <c r="H72" s="708"/>
      <c r="I72" s="708"/>
      <c r="J72" s="708"/>
      <c r="K72" s="708"/>
      <c r="L72" s="708"/>
      <c r="M72" s="708"/>
      <c r="N72" s="708"/>
      <c r="O72" s="708"/>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c r="BA72" s="707"/>
      <c r="BB72" s="707"/>
      <c r="BC72" s="707"/>
      <c r="BD72" s="707"/>
      <c r="BE72" s="707"/>
      <c r="BF72" s="707"/>
      <c r="BG72" s="707"/>
      <c r="BH72" s="707"/>
      <c r="BI72" s="707"/>
      <c r="BJ72" s="707"/>
      <c r="BK72" s="707"/>
      <c r="BL72" s="707"/>
      <c r="BM72" s="707"/>
      <c r="BN72" s="707"/>
      <c r="BO72" s="707"/>
      <c r="BP72" s="707"/>
      <c r="BQ72" s="707"/>
      <c r="BR72" s="707"/>
      <c r="BS72" s="707"/>
      <c r="BT72" s="707"/>
      <c r="BU72" s="707"/>
      <c r="BV72" s="707"/>
      <c r="BW72" s="707"/>
      <c r="BX72" s="707"/>
      <c r="BY72" s="707"/>
      <c r="BZ72" s="707"/>
    </row>
    <row r="73" spans="1:78" ht="15">
      <c r="A73" s="707"/>
      <c r="B73" s="707"/>
      <c r="C73" s="707"/>
      <c r="D73" s="707"/>
      <c r="E73" s="707"/>
      <c r="F73" s="707"/>
      <c r="G73" s="707"/>
      <c r="H73" s="708"/>
      <c r="I73" s="708"/>
      <c r="J73" s="708"/>
      <c r="K73" s="708"/>
      <c r="L73" s="708"/>
      <c r="M73" s="708"/>
      <c r="N73" s="708"/>
      <c r="O73" s="708"/>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c r="BA73" s="707"/>
      <c r="BB73" s="707"/>
      <c r="BC73" s="707"/>
      <c r="BD73" s="707"/>
      <c r="BE73" s="707"/>
      <c r="BF73" s="707"/>
      <c r="BG73" s="707"/>
      <c r="BH73" s="707"/>
      <c r="BI73" s="707"/>
      <c r="BJ73" s="707"/>
      <c r="BK73" s="707"/>
      <c r="BL73" s="707"/>
      <c r="BM73" s="707"/>
      <c r="BN73" s="707"/>
      <c r="BO73" s="707"/>
      <c r="BP73" s="707"/>
      <c r="BQ73" s="707"/>
      <c r="BR73" s="707"/>
      <c r="BS73" s="707"/>
      <c r="BT73" s="707"/>
      <c r="BU73" s="707"/>
      <c r="BV73" s="707"/>
      <c r="BW73" s="707"/>
      <c r="BX73" s="707"/>
      <c r="BY73" s="707"/>
      <c r="BZ73" s="707"/>
    </row>
    <row r="74" spans="1:78" ht="15">
      <c r="A74" s="707"/>
      <c r="B74" s="707"/>
      <c r="C74" s="707"/>
      <c r="D74" s="707"/>
      <c r="E74" s="707"/>
      <c r="F74" s="707"/>
      <c r="G74" s="707"/>
      <c r="H74" s="708"/>
      <c r="I74" s="708"/>
      <c r="J74" s="708"/>
      <c r="K74" s="708"/>
      <c r="L74" s="708"/>
      <c r="M74" s="708"/>
      <c r="N74" s="708"/>
      <c r="O74" s="708"/>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c r="BA74" s="707"/>
      <c r="BB74" s="707"/>
      <c r="BC74" s="707"/>
      <c r="BD74" s="707"/>
      <c r="BE74" s="707"/>
      <c r="BF74" s="707"/>
      <c r="BG74" s="707"/>
      <c r="BH74" s="707"/>
      <c r="BI74" s="707"/>
      <c r="BJ74" s="707"/>
      <c r="BK74" s="707"/>
      <c r="BL74" s="707"/>
      <c r="BM74" s="707"/>
      <c r="BN74" s="707"/>
      <c r="BO74" s="707"/>
      <c r="BP74" s="707"/>
      <c r="BQ74" s="707"/>
      <c r="BR74" s="707"/>
      <c r="BS74" s="707"/>
      <c r="BT74" s="707"/>
      <c r="BU74" s="707"/>
      <c r="BV74" s="707"/>
      <c r="BW74" s="707"/>
      <c r="BX74" s="707"/>
      <c r="BY74" s="707"/>
      <c r="BZ74" s="707"/>
    </row>
    <row r="75" spans="1:78" ht="15">
      <c r="A75" s="707"/>
      <c r="B75" s="707"/>
      <c r="C75" s="707"/>
      <c r="D75" s="707"/>
      <c r="E75" s="707"/>
      <c r="F75" s="707"/>
      <c r="G75" s="707"/>
      <c r="H75" s="708"/>
      <c r="I75" s="708"/>
      <c r="J75" s="708"/>
      <c r="K75" s="708"/>
      <c r="L75" s="708"/>
      <c r="M75" s="708"/>
      <c r="N75" s="708"/>
      <c r="O75" s="708"/>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707"/>
      <c r="AZ75" s="707"/>
      <c r="BA75" s="707"/>
      <c r="BB75" s="707"/>
      <c r="BC75" s="707"/>
      <c r="BD75" s="707"/>
      <c r="BE75" s="707"/>
      <c r="BF75" s="707"/>
      <c r="BG75" s="707"/>
      <c r="BH75" s="707"/>
      <c r="BI75" s="707"/>
      <c r="BJ75" s="707"/>
      <c r="BK75" s="707"/>
      <c r="BL75" s="707"/>
      <c r="BM75" s="707"/>
      <c r="BN75" s="707"/>
      <c r="BO75" s="707"/>
      <c r="BP75" s="707"/>
      <c r="BQ75" s="707"/>
      <c r="BR75" s="707"/>
      <c r="BS75" s="707"/>
      <c r="BT75" s="707"/>
      <c r="BU75" s="707"/>
      <c r="BV75" s="707"/>
      <c r="BW75" s="707"/>
      <c r="BX75" s="707"/>
      <c r="BY75" s="707"/>
      <c r="BZ75" s="707"/>
    </row>
    <row r="76" spans="1:78" ht="15">
      <c r="A76" s="707"/>
      <c r="B76" s="707"/>
      <c r="C76" s="707"/>
      <c r="D76" s="707"/>
      <c r="E76" s="707"/>
      <c r="F76" s="707"/>
      <c r="G76" s="707"/>
      <c r="H76" s="708"/>
      <c r="I76" s="708"/>
      <c r="J76" s="708"/>
      <c r="K76" s="708"/>
      <c r="L76" s="708"/>
      <c r="M76" s="708"/>
      <c r="N76" s="708"/>
      <c r="O76" s="708"/>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7"/>
      <c r="AO76" s="707"/>
      <c r="AP76" s="707"/>
      <c r="AQ76" s="707"/>
      <c r="AR76" s="707"/>
      <c r="AS76" s="707"/>
      <c r="AT76" s="707"/>
      <c r="AU76" s="707"/>
      <c r="AV76" s="707"/>
      <c r="AW76" s="707"/>
      <c r="AX76" s="707"/>
      <c r="AY76" s="707"/>
      <c r="AZ76" s="707"/>
      <c r="BA76" s="707"/>
      <c r="BB76" s="707"/>
      <c r="BC76" s="707"/>
      <c r="BD76" s="707"/>
      <c r="BE76" s="707"/>
      <c r="BF76" s="707"/>
      <c r="BG76" s="707"/>
      <c r="BH76" s="707"/>
      <c r="BI76" s="707"/>
      <c r="BJ76" s="707"/>
      <c r="BK76" s="707"/>
      <c r="BL76" s="707"/>
      <c r="BM76" s="707"/>
      <c r="BN76" s="707"/>
      <c r="BO76" s="707"/>
      <c r="BP76" s="707"/>
      <c r="BQ76" s="707"/>
      <c r="BR76" s="707"/>
      <c r="BS76" s="707"/>
      <c r="BT76" s="707"/>
      <c r="BU76" s="707"/>
      <c r="BV76" s="707"/>
      <c r="BW76" s="707"/>
      <c r="BX76" s="707"/>
      <c r="BY76" s="707"/>
      <c r="BZ76" s="707"/>
    </row>
    <row r="77" spans="1:78" ht="15">
      <c r="A77" s="707"/>
      <c r="B77" s="707"/>
      <c r="C77" s="707"/>
      <c r="D77" s="707"/>
      <c r="E77" s="707"/>
      <c r="F77" s="707"/>
      <c r="G77" s="707"/>
      <c r="H77" s="708"/>
      <c r="I77" s="708"/>
      <c r="J77" s="708"/>
      <c r="K77" s="708"/>
      <c r="L77" s="708"/>
      <c r="M77" s="708"/>
      <c r="N77" s="708"/>
      <c r="O77" s="708"/>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7"/>
      <c r="AS77" s="707"/>
      <c r="AT77" s="707"/>
      <c r="AU77" s="707"/>
      <c r="AV77" s="707"/>
      <c r="AW77" s="707"/>
      <c r="AX77" s="707"/>
      <c r="AY77" s="707"/>
      <c r="AZ77" s="707"/>
      <c r="BA77" s="707"/>
      <c r="BB77" s="707"/>
      <c r="BC77" s="707"/>
      <c r="BD77" s="707"/>
      <c r="BE77" s="707"/>
      <c r="BF77" s="707"/>
      <c r="BG77" s="707"/>
      <c r="BH77" s="707"/>
      <c r="BI77" s="707"/>
      <c r="BJ77" s="707"/>
      <c r="BK77" s="707"/>
      <c r="BL77" s="707"/>
      <c r="BM77" s="707"/>
      <c r="BN77" s="707"/>
      <c r="BO77" s="707"/>
      <c r="BP77" s="707"/>
      <c r="BQ77" s="707"/>
      <c r="BR77" s="707"/>
      <c r="BS77" s="707"/>
      <c r="BT77" s="707"/>
      <c r="BU77" s="707"/>
      <c r="BV77" s="707"/>
      <c r="BW77" s="707"/>
      <c r="BX77" s="707"/>
      <c r="BY77" s="707"/>
      <c r="BZ77" s="707"/>
    </row>
    <row r="78" spans="1:78" ht="15">
      <c r="A78" s="707"/>
      <c r="B78" s="707"/>
      <c r="C78" s="707"/>
      <c r="D78" s="707"/>
      <c r="E78" s="707"/>
      <c r="F78" s="707"/>
      <c r="G78" s="707"/>
      <c r="H78" s="708"/>
      <c r="I78" s="708"/>
      <c r="J78" s="708"/>
      <c r="K78" s="708"/>
      <c r="L78" s="708"/>
      <c r="M78" s="708"/>
      <c r="N78" s="708"/>
      <c r="O78" s="708"/>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7"/>
      <c r="AY78" s="707"/>
      <c r="AZ78" s="707"/>
      <c r="BA78" s="707"/>
      <c r="BB78" s="707"/>
      <c r="BC78" s="707"/>
      <c r="BD78" s="707"/>
      <c r="BE78" s="707"/>
      <c r="BF78" s="707"/>
      <c r="BG78" s="707"/>
      <c r="BH78" s="707"/>
      <c r="BI78" s="707"/>
      <c r="BJ78" s="707"/>
      <c r="BK78" s="707"/>
      <c r="BL78" s="707"/>
      <c r="BM78" s="707"/>
      <c r="BN78" s="707"/>
      <c r="BO78" s="707"/>
      <c r="BP78" s="707"/>
      <c r="BQ78" s="707"/>
      <c r="BR78" s="707"/>
      <c r="BS78" s="707"/>
      <c r="BT78" s="707"/>
      <c r="BU78" s="707"/>
      <c r="BV78" s="707"/>
      <c r="BW78" s="707"/>
      <c r="BX78" s="707"/>
      <c r="BY78" s="707"/>
      <c r="BZ78" s="707"/>
    </row>
    <row r="79" spans="1:78" ht="15">
      <c r="A79" s="707"/>
      <c r="B79" s="707"/>
      <c r="C79" s="707"/>
      <c r="D79" s="707"/>
      <c r="E79" s="707"/>
      <c r="F79" s="707"/>
      <c r="G79" s="707"/>
      <c r="H79" s="708"/>
      <c r="I79" s="708"/>
      <c r="J79" s="708"/>
      <c r="K79" s="708"/>
      <c r="L79" s="708"/>
      <c r="M79" s="708"/>
      <c r="N79" s="708"/>
      <c r="O79" s="708"/>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707"/>
      <c r="AP79" s="707"/>
      <c r="AQ79" s="707"/>
      <c r="AR79" s="707"/>
      <c r="AS79" s="707"/>
      <c r="AT79" s="707"/>
      <c r="AU79" s="707"/>
      <c r="AV79" s="707"/>
      <c r="AW79" s="707"/>
      <c r="AX79" s="707"/>
      <c r="AY79" s="707"/>
      <c r="AZ79" s="707"/>
      <c r="BA79" s="707"/>
      <c r="BB79" s="707"/>
      <c r="BC79" s="707"/>
      <c r="BD79" s="707"/>
      <c r="BE79" s="707"/>
      <c r="BF79" s="707"/>
      <c r="BG79" s="707"/>
      <c r="BH79" s="707"/>
      <c r="BI79" s="707"/>
      <c r="BJ79" s="707"/>
      <c r="BK79" s="707"/>
      <c r="BL79" s="707"/>
      <c r="BM79" s="707"/>
      <c r="BN79" s="707"/>
      <c r="BO79" s="707"/>
      <c r="BP79" s="707"/>
      <c r="BQ79" s="707"/>
      <c r="BR79" s="707"/>
      <c r="BS79" s="707"/>
      <c r="BT79" s="707"/>
      <c r="BU79" s="707"/>
      <c r="BV79" s="707"/>
      <c r="BW79" s="707"/>
      <c r="BX79" s="707"/>
      <c r="BY79" s="707"/>
      <c r="BZ79" s="707"/>
    </row>
    <row r="80" spans="1:78" ht="15">
      <c r="A80" s="707"/>
      <c r="B80" s="707"/>
      <c r="C80" s="707"/>
      <c r="D80" s="707"/>
      <c r="E80" s="707"/>
      <c r="F80" s="707"/>
      <c r="G80" s="707"/>
      <c r="H80" s="708"/>
      <c r="I80" s="708"/>
      <c r="J80" s="708"/>
      <c r="K80" s="708"/>
      <c r="L80" s="708"/>
      <c r="M80" s="708"/>
      <c r="N80" s="708"/>
      <c r="O80" s="708"/>
      <c r="P80" s="707"/>
      <c r="Q80" s="707"/>
      <c r="R80" s="707"/>
      <c r="S80" s="707"/>
      <c r="T80" s="707"/>
      <c r="U80" s="707"/>
      <c r="V80" s="707"/>
      <c r="W80" s="707"/>
      <c r="X80" s="707"/>
      <c r="Y80" s="707"/>
      <c r="Z80" s="707"/>
      <c r="AA80" s="707"/>
      <c r="AB80" s="707"/>
      <c r="AC80" s="707"/>
      <c r="AD80" s="707"/>
      <c r="AE80" s="707"/>
      <c r="AF80" s="707"/>
      <c r="AG80" s="707"/>
      <c r="AH80" s="707"/>
      <c r="AI80" s="707"/>
      <c r="AJ80" s="707"/>
      <c r="AK80" s="707"/>
      <c r="AL80" s="707"/>
      <c r="AM80" s="707"/>
      <c r="AN80" s="707"/>
      <c r="AO80" s="707"/>
      <c r="AP80" s="707"/>
      <c r="AQ80" s="707"/>
      <c r="AR80" s="707"/>
      <c r="AS80" s="707"/>
      <c r="AT80" s="707"/>
      <c r="AU80" s="707"/>
      <c r="AV80" s="707"/>
      <c r="AW80" s="707"/>
      <c r="AX80" s="707"/>
      <c r="AY80" s="707"/>
      <c r="AZ80" s="707"/>
      <c r="BA80" s="707"/>
      <c r="BB80" s="707"/>
      <c r="BC80" s="707"/>
      <c r="BD80" s="707"/>
      <c r="BE80" s="707"/>
      <c r="BF80" s="707"/>
      <c r="BG80" s="707"/>
      <c r="BH80" s="707"/>
      <c r="BI80" s="707"/>
      <c r="BJ80" s="707"/>
      <c r="BK80" s="707"/>
      <c r="BL80" s="707"/>
      <c r="BM80" s="707"/>
      <c r="BN80" s="707"/>
      <c r="BO80" s="707"/>
      <c r="BP80" s="707"/>
      <c r="BQ80" s="707"/>
      <c r="BR80" s="707"/>
      <c r="BS80" s="707"/>
      <c r="BT80" s="707"/>
      <c r="BU80" s="707"/>
      <c r="BV80" s="707"/>
      <c r="BW80" s="707"/>
      <c r="BX80" s="707"/>
      <c r="BY80" s="707"/>
      <c r="BZ80" s="707"/>
    </row>
    <row r="81" spans="1:78" ht="15">
      <c r="A81" s="707"/>
      <c r="B81" s="707"/>
      <c r="C81" s="707"/>
      <c r="D81" s="707"/>
      <c r="E81" s="707"/>
      <c r="F81" s="707"/>
      <c r="G81" s="707"/>
      <c r="H81" s="708"/>
      <c r="I81" s="708"/>
      <c r="J81" s="708"/>
      <c r="K81" s="708"/>
      <c r="L81" s="708"/>
      <c r="M81" s="708"/>
      <c r="N81" s="708"/>
      <c r="O81" s="708"/>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7"/>
      <c r="AO81" s="707"/>
      <c r="AP81" s="707"/>
      <c r="AQ81" s="707"/>
      <c r="AR81" s="707"/>
      <c r="AS81" s="707"/>
      <c r="AT81" s="707"/>
      <c r="AU81" s="707"/>
      <c r="AV81" s="707"/>
      <c r="AW81" s="707"/>
      <c r="AX81" s="707"/>
      <c r="AY81" s="707"/>
      <c r="AZ81" s="707"/>
      <c r="BA81" s="707"/>
      <c r="BB81" s="707"/>
      <c r="BC81" s="707"/>
      <c r="BD81" s="707"/>
      <c r="BE81" s="707"/>
      <c r="BF81" s="707"/>
      <c r="BG81" s="707"/>
      <c r="BH81" s="707"/>
      <c r="BI81" s="707"/>
      <c r="BJ81" s="707"/>
      <c r="BK81" s="707"/>
      <c r="BL81" s="707"/>
      <c r="BM81" s="707"/>
      <c r="BN81" s="707"/>
      <c r="BO81" s="707"/>
      <c r="BP81" s="707"/>
      <c r="BQ81" s="707"/>
      <c r="BR81" s="707"/>
      <c r="BS81" s="707"/>
      <c r="BT81" s="707"/>
      <c r="BU81" s="707"/>
      <c r="BV81" s="707"/>
      <c r="BW81" s="707"/>
      <c r="BX81" s="707"/>
      <c r="BY81" s="707"/>
      <c r="BZ81" s="707"/>
    </row>
    <row r="82" spans="1:78" ht="15">
      <c r="A82" s="707"/>
      <c r="B82" s="707"/>
      <c r="C82" s="707"/>
      <c r="D82" s="707"/>
      <c r="E82" s="707"/>
      <c r="F82" s="707"/>
      <c r="G82" s="707"/>
      <c r="H82" s="708"/>
      <c r="I82" s="708"/>
      <c r="J82" s="708"/>
      <c r="K82" s="708"/>
      <c r="L82" s="708"/>
      <c r="M82" s="708"/>
      <c r="N82" s="708"/>
      <c r="O82" s="708"/>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707"/>
      <c r="AY82" s="707"/>
      <c r="AZ82" s="707"/>
      <c r="BA82" s="707"/>
      <c r="BB82" s="707"/>
      <c r="BC82" s="707"/>
      <c r="BD82" s="707"/>
      <c r="BE82" s="707"/>
      <c r="BF82" s="707"/>
      <c r="BG82" s="707"/>
      <c r="BH82" s="707"/>
      <c r="BI82" s="707"/>
      <c r="BJ82" s="707"/>
      <c r="BK82" s="707"/>
      <c r="BL82" s="707"/>
      <c r="BM82" s="707"/>
      <c r="BN82" s="707"/>
      <c r="BO82" s="707"/>
      <c r="BP82" s="707"/>
      <c r="BQ82" s="707"/>
      <c r="BR82" s="707"/>
      <c r="BS82" s="707"/>
      <c r="BT82" s="707"/>
      <c r="BU82" s="707"/>
      <c r="BV82" s="707"/>
      <c r="BW82" s="707"/>
      <c r="BX82" s="707"/>
      <c r="BY82" s="707"/>
      <c r="BZ82" s="707"/>
    </row>
    <row r="83" spans="1:78" ht="15">
      <c r="A83" s="707"/>
      <c r="B83" s="707"/>
      <c r="C83" s="707"/>
      <c r="D83" s="707"/>
      <c r="E83" s="707"/>
      <c r="F83" s="707"/>
      <c r="G83" s="707"/>
      <c r="H83" s="708"/>
      <c r="I83" s="708"/>
      <c r="J83" s="708"/>
      <c r="K83" s="708"/>
      <c r="L83" s="708"/>
      <c r="M83" s="708"/>
      <c r="N83" s="708"/>
      <c r="O83" s="708"/>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707"/>
      <c r="AY83" s="707"/>
      <c r="AZ83" s="707"/>
      <c r="BA83" s="707"/>
      <c r="BB83" s="707"/>
      <c r="BC83" s="707"/>
      <c r="BD83" s="707"/>
      <c r="BE83" s="707"/>
      <c r="BF83" s="707"/>
      <c r="BG83" s="707"/>
      <c r="BH83" s="707"/>
      <c r="BI83" s="707"/>
      <c r="BJ83" s="707"/>
      <c r="BK83" s="707"/>
      <c r="BL83" s="707"/>
      <c r="BM83" s="707"/>
      <c r="BN83" s="707"/>
      <c r="BO83" s="707"/>
      <c r="BP83" s="707"/>
      <c r="BQ83" s="707"/>
      <c r="BR83" s="707"/>
      <c r="BS83" s="707"/>
      <c r="BT83" s="707"/>
      <c r="BU83" s="707"/>
      <c r="BV83" s="707"/>
      <c r="BW83" s="707"/>
      <c r="BX83" s="707"/>
      <c r="BY83" s="707"/>
      <c r="BZ83" s="707"/>
    </row>
    <row r="84" spans="1:78" ht="15">
      <c r="A84" s="707"/>
      <c r="B84" s="707"/>
      <c r="C84" s="707"/>
      <c r="D84" s="707"/>
      <c r="E84" s="707"/>
      <c r="F84" s="707"/>
      <c r="G84" s="707"/>
      <c r="H84" s="708"/>
      <c r="I84" s="708"/>
      <c r="J84" s="708"/>
      <c r="K84" s="708"/>
      <c r="L84" s="708"/>
      <c r="M84" s="708"/>
      <c r="N84" s="708"/>
      <c r="O84" s="708"/>
      <c r="P84" s="707"/>
      <c r="Q84" s="707"/>
      <c r="R84" s="707"/>
      <c r="S84" s="707"/>
      <c r="T84" s="707"/>
      <c r="U84" s="707"/>
      <c r="V84" s="707"/>
      <c r="W84" s="707"/>
      <c r="X84" s="707"/>
      <c r="Y84" s="707"/>
      <c r="Z84" s="707"/>
      <c r="AA84" s="707"/>
      <c r="AB84" s="707"/>
      <c r="AC84" s="707"/>
      <c r="AD84" s="707"/>
      <c r="AE84" s="707"/>
      <c r="AF84" s="707"/>
      <c r="AG84" s="707"/>
      <c r="AH84" s="707"/>
      <c r="AI84" s="707"/>
      <c r="AJ84" s="707"/>
      <c r="AK84" s="707"/>
      <c r="AL84" s="707"/>
      <c r="AM84" s="707"/>
      <c r="AN84" s="707"/>
      <c r="AO84" s="707"/>
      <c r="AP84" s="707"/>
      <c r="AQ84" s="707"/>
      <c r="AR84" s="707"/>
      <c r="AS84" s="707"/>
      <c r="AT84" s="707"/>
      <c r="AU84" s="707"/>
      <c r="AV84" s="707"/>
      <c r="AW84" s="707"/>
      <c r="AX84" s="707"/>
      <c r="AY84" s="707"/>
      <c r="AZ84" s="707"/>
      <c r="BA84" s="707"/>
      <c r="BB84" s="707"/>
      <c r="BC84" s="707"/>
      <c r="BD84" s="707"/>
      <c r="BE84" s="707"/>
      <c r="BF84" s="707"/>
      <c r="BG84" s="707"/>
      <c r="BH84" s="707"/>
      <c r="BI84" s="707"/>
      <c r="BJ84" s="707"/>
      <c r="BK84" s="707"/>
      <c r="BL84" s="707"/>
      <c r="BM84" s="707"/>
      <c r="BN84" s="707"/>
      <c r="BO84" s="707"/>
      <c r="BP84" s="707"/>
      <c r="BQ84" s="707"/>
      <c r="BR84" s="707"/>
      <c r="BS84" s="707"/>
      <c r="BT84" s="707"/>
      <c r="BU84" s="707"/>
      <c r="BV84" s="707"/>
      <c r="BW84" s="707"/>
      <c r="BX84" s="707"/>
      <c r="BY84" s="707"/>
      <c r="BZ84" s="707"/>
    </row>
    <row r="85" spans="1:78" ht="15">
      <c r="A85" s="707"/>
      <c r="B85" s="707"/>
      <c r="C85" s="707"/>
      <c r="D85" s="707"/>
      <c r="E85" s="707"/>
      <c r="F85" s="707"/>
      <c r="G85" s="707"/>
      <c r="H85" s="708"/>
      <c r="I85" s="708"/>
      <c r="J85" s="708"/>
      <c r="K85" s="708"/>
      <c r="L85" s="708"/>
      <c r="M85" s="708"/>
      <c r="N85" s="708"/>
      <c r="O85" s="708"/>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07"/>
      <c r="AY85" s="707"/>
      <c r="AZ85" s="707"/>
      <c r="BA85" s="707"/>
      <c r="BB85" s="707"/>
      <c r="BC85" s="707"/>
      <c r="BD85" s="707"/>
      <c r="BE85" s="707"/>
      <c r="BF85" s="707"/>
      <c r="BG85" s="707"/>
      <c r="BH85" s="707"/>
      <c r="BI85" s="707"/>
      <c r="BJ85" s="707"/>
      <c r="BK85" s="707"/>
      <c r="BL85" s="707"/>
      <c r="BM85" s="707"/>
      <c r="BN85" s="707"/>
      <c r="BO85" s="707"/>
      <c r="BP85" s="707"/>
      <c r="BQ85" s="707"/>
      <c r="BR85" s="707"/>
      <c r="BS85" s="707"/>
      <c r="BT85" s="707"/>
      <c r="BU85" s="707"/>
      <c r="BV85" s="707"/>
      <c r="BW85" s="707"/>
      <c r="BX85" s="707"/>
      <c r="BY85" s="707"/>
      <c r="BZ85" s="707"/>
    </row>
    <row r="86" spans="1:78" ht="15">
      <c r="A86" s="707"/>
      <c r="B86" s="707"/>
      <c r="C86" s="707"/>
      <c r="D86" s="707"/>
      <c r="E86" s="707"/>
      <c r="F86" s="707"/>
      <c r="G86" s="707"/>
      <c r="H86" s="708"/>
      <c r="I86" s="708"/>
      <c r="J86" s="708"/>
      <c r="K86" s="708"/>
      <c r="L86" s="708"/>
      <c r="M86" s="708"/>
      <c r="N86" s="708"/>
      <c r="O86" s="708"/>
      <c r="P86" s="707"/>
      <c r="Q86" s="707"/>
      <c r="R86" s="707"/>
      <c r="S86" s="707"/>
      <c r="T86" s="707"/>
      <c r="U86" s="707"/>
      <c r="V86" s="707"/>
      <c r="W86" s="707"/>
      <c r="X86" s="707"/>
      <c r="Y86" s="707"/>
      <c r="Z86" s="707"/>
      <c r="AA86" s="707"/>
      <c r="AB86" s="707"/>
      <c r="AC86" s="707"/>
      <c r="AD86" s="707"/>
      <c r="AE86" s="707"/>
      <c r="AF86" s="707"/>
      <c r="AG86" s="707"/>
      <c r="AH86" s="707"/>
      <c r="AI86" s="707"/>
      <c r="AJ86" s="707"/>
      <c r="AK86" s="707"/>
      <c r="AL86" s="707"/>
      <c r="AM86" s="707"/>
      <c r="AN86" s="707"/>
      <c r="AO86" s="707"/>
      <c r="AP86" s="707"/>
      <c r="AQ86" s="707"/>
      <c r="AR86" s="707"/>
      <c r="AS86" s="707"/>
      <c r="AT86" s="707"/>
      <c r="AU86" s="707"/>
      <c r="AV86" s="707"/>
      <c r="AW86" s="707"/>
      <c r="AX86" s="707"/>
      <c r="AY86" s="707"/>
      <c r="AZ86" s="707"/>
      <c r="BA86" s="707"/>
      <c r="BB86" s="707"/>
      <c r="BC86" s="707"/>
      <c r="BD86" s="707"/>
      <c r="BE86" s="707"/>
      <c r="BF86" s="707"/>
      <c r="BG86" s="707"/>
      <c r="BH86" s="707"/>
      <c r="BI86" s="707"/>
      <c r="BJ86" s="707"/>
      <c r="BK86" s="707"/>
      <c r="BL86" s="707"/>
      <c r="BM86" s="707"/>
      <c r="BN86" s="707"/>
      <c r="BO86" s="707"/>
      <c r="BP86" s="707"/>
      <c r="BQ86" s="707"/>
      <c r="BR86" s="707"/>
      <c r="BS86" s="707"/>
      <c r="BT86" s="707"/>
      <c r="BU86" s="707"/>
      <c r="BV86" s="707"/>
      <c r="BW86" s="707"/>
      <c r="BX86" s="707"/>
      <c r="BY86" s="707"/>
      <c r="BZ86" s="707"/>
    </row>
    <row r="87" spans="1:78" ht="15">
      <c r="A87" s="707"/>
      <c r="B87" s="707"/>
      <c r="C87" s="707"/>
      <c r="D87" s="707"/>
      <c r="E87" s="707"/>
      <c r="F87" s="707"/>
      <c r="G87" s="707"/>
      <c r="H87" s="708"/>
      <c r="I87" s="708"/>
      <c r="J87" s="708"/>
      <c r="K87" s="708"/>
      <c r="L87" s="708"/>
      <c r="M87" s="708"/>
      <c r="N87" s="708"/>
      <c r="O87" s="708"/>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7"/>
      <c r="AO87" s="707"/>
      <c r="AP87" s="707"/>
      <c r="AQ87" s="707"/>
      <c r="AR87" s="707"/>
      <c r="AS87" s="707"/>
      <c r="AT87" s="707"/>
      <c r="AU87" s="707"/>
      <c r="AV87" s="707"/>
      <c r="AW87" s="707"/>
      <c r="AX87" s="707"/>
      <c r="AY87" s="707"/>
      <c r="AZ87" s="707"/>
      <c r="BA87" s="707"/>
      <c r="BB87" s="707"/>
      <c r="BC87" s="707"/>
      <c r="BD87" s="707"/>
      <c r="BE87" s="707"/>
      <c r="BF87" s="707"/>
      <c r="BG87" s="707"/>
      <c r="BH87" s="707"/>
      <c r="BI87" s="707"/>
      <c r="BJ87" s="707"/>
      <c r="BK87" s="707"/>
      <c r="BL87" s="707"/>
      <c r="BM87" s="707"/>
      <c r="BN87" s="707"/>
      <c r="BO87" s="707"/>
      <c r="BP87" s="707"/>
      <c r="BQ87" s="707"/>
      <c r="BR87" s="707"/>
      <c r="BS87" s="707"/>
      <c r="BT87" s="707"/>
      <c r="BU87" s="707"/>
      <c r="BV87" s="707"/>
      <c r="BW87" s="707"/>
      <c r="BX87" s="707"/>
      <c r="BY87" s="707"/>
      <c r="BZ87" s="707"/>
    </row>
    <row r="88" spans="1:78" ht="15">
      <c r="A88" s="707"/>
      <c r="B88" s="707"/>
      <c r="C88" s="707"/>
      <c r="D88" s="707"/>
      <c r="E88" s="707"/>
      <c r="F88" s="707"/>
      <c r="G88" s="707"/>
      <c r="H88" s="708"/>
      <c r="I88" s="708"/>
      <c r="J88" s="708"/>
      <c r="K88" s="708"/>
      <c r="L88" s="708"/>
      <c r="M88" s="708"/>
      <c r="N88" s="708"/>
      <c r="O88" s="708"/>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7"/>
      <c r="AY88" s="707"/>
      <c r="AZ88" s="707"/>
      <c r="BA88" s="707"/>
      <c r="BB88" s="707"/>
      <c r="BC88" s="707"/>
      <c r="BD88" s="707"/>
      <c r="BE88" s="707"/>
      <c r="BF88" s="707"/>
      <c r="BG88" s="707"/>
      <c r="BH88" s="707"/>
      <c r="BI88" s="707"/>
      <c r="BJ88" s="707"/>
      <c r="BK88" s="707"/>
      <c r="BL88" s="707"/>
      <c r="BM88" s="707"/>
      <c r="BN88" s="707"/>
      <c r="BO88" s="707"/>
      <c r="BP88" s="707"/>
      <c r="BQ88" s="707"/>
      <c r="BR88" s="707"/>
      <c r="BS88" s="707"/>
      <c r="BT88" s="707"/>
      <c r="BU88" s="707"/>
      <c r="BV88" s="707"/>
      <c r="BW88" s="707"/>
      <c r="BX88" s="707"/>
      <c r="BY88" s="707"/>
      <c r="BZ88" s="707"/>
    </row>
    <row r="89" spans="1:78" ht="15">
      <c r="A89" s="707"/>
      <c r="B89" s="707"/>
      <c r="C89" s="707"/>
      <c r="D89" s="707"/>
      <c r="E89" s="707"/>
      <c r="F89" s="707"/>
      <c r="G89" s="707"/>
      <c r="H89" s="708"/>
      <c r="I89" s="708"/>
      <c r="J89" s="708"/>
      <c r="K89" s="708"/>
      <c r="L89" s="708"/>
      <c r="M89" s="708"/>
      <c r="N89" s="708"/>
      <c r="O89" s="708"/>
      <c r="P89" s="707"/>
      <c r="Q89" s="707"/>
      <c r="R89" s="707"/>
      <c r="S89" s="707"/>
      <c r="T89" s="707"/>
      <c r="U89" s="707"/>
      <c r="V89" s="707"/>
      <c r="W89" s="707"/>
      <c r="X89" s="707"/>
      <c r="Y89" s="707"/>
      <c r="Z89" s="707"/>
      <c r="AA89" s="707"/>
      <c r="AB89" s="707"/>
      <c r="AC89" s="707"/>
      <c r="AD89" s="707"/>
      <c r="AE89" s="707"/>
      <c r="AF89" s="707"/>
      <c r="AG89" s="707"/>
      <c r="AH89" s="707"/>
      <c r="AI89" s="707"/>
      <c r="AJ89" s="707"/>
      <c r="AK89" s="707"/>
      <c r="AL89" s="707"/>
      <c r="AM89" s="707"/>
      <c r="AN89" s="707"/>
      <c r="AO89" s="707"/>
      <c r="AP89" s="707"/>
      <c r="AQ89" s="707"/>
      <c r="AR89" s="707"/>
      <c r="AS89" s="707"/>
      <c r="AT89" s="707"/>
      <c r="AU89" s="707"/>
      <c r="AV89" s="707"/>
      <c r="AW89" s="707"/>
      <c r="AX89" s="707"/>
      <c r="AY89" s="707"/>
      <c r="AZ89" s="707"/>
      <c r="BA89" s="707"/>
      <c r="BB89" s="707"/>
      <c r="BC89" s="707"/>
      <c r="BD89" s="707"/>
      <c r="BE89" s="707"/>
      <c r="BF89" s="707"/>
      <c r="BG89" s="707"/>
      <c r="BH89" s="707"/>
      <c r="BI89" s="707"/>
      <c r="BJ89" s="707"/>
      <c r="BK89" s="707"/>
      <c r="BL89" s="707"/>
      <c r="BM89" s="707"/>
      <c r="BN89" s="707"/>
      <c r="BO89" s="707"/>
      <c r="BP89" s="707"/>
      <c r="BQ89" s="707"/>
      <c r="BR89" s="707"/>
      <c r="BS89" s="707"/>
      <c r="BT89" s="707"/>
      <c r="BU89" s="707"/>
      <c r="BV89" s="707"/>
      <c r="BW89" s="707"/>
      <c r="BX89" s="707"/>
      <c r="BY89" s="707"/>
      <c r="BZ89" s="707"/>
    </row>
    <row r="90" spans="1:78" ht="15">
      <c r="A90" s="707"/>
      <c r="B90" s="707"/>
      <c r="C90" s="707"/>
      <c r="D90" s="707"/>
      <c r="E90" s="707"/>
      <c r="F90" s="707"/>
      <c r="G90" s="707"/>
      <c r="H90" s="708"/>
      <c r="I90" s="708"/>
      <c r="J90" s="708"/>
      <c r="K90" s="708"/>
      <c r="L90" s="708"/>
      <c r="M90" s="708"/>
      <c r="N90" s="708"/>
      <c r="O90" s="708"/>
      <c r="P90" s="707"/>
      <c r="Q90" s="707"/>
      <c r="R90" s="707"/>
      <c r="S90" s="707"/>
      <c r="T90" s="707"/>
      <c r="U90" s="707"/>
      <c r="V90" s="707"/>
      <c r="W90" s="707"/>
      <c r="X90" s="707"/>
      <c r="Y90" s="707"/>
      <c r="Z90" s="707"/>
      <c r="AA90" s="707"/>
      <c r="AB90" s="707"/>
      <c r="AC90" s="707"/>
      <c r="AD90" s="707"/>
      <c r="AE90" s="707"/>
      <c r="AF90" s="707"/>
      <c r="AG90" s="707"/>
      <c r="AH90" s="707"/>
      <c r="AI90" s="707"/>
      <c r="AJ90" s="707"/>
      <c r="AK90" s="707"/>
      <c r="AL90" s="707"/>
      <c r="AM90" s="707"/>
      <c r="AN90" s="707"/>
      <c r="AO90" s="707"/>
      <c r="AP90" s="707"/>
      <c r="AQ90" s="707"/>
      <c r="AR90" s="707"/>
      <c r="AS90" s="707"/>
      <c r="AT90" s="707"/>
      <c r="AU90" s="707"/>
      <c r="AV90" s="707"/>
      <c r="AW90" s="707"/>
      <c r="AX90" s="707"/>
      <c r="AY90" s="707"/>
      <c r="AZ90" s="707"/>
      <c r="BA90" s="707"/>
      <c r="BB90" s="707"/>
      <c r="BC90" s="707"/>
      <c r="BD90" s="707"/>
      <c r="BE90" s="707"/>
      <c r="BF90" s="707"/>
      <c r="BG90" s="707"/>
      <c r="BH90" s="707"/>
      <c r="BI90" s="707"/>
      <c r="BJ90" s="707"/>
      <c r="BK90" s="707"/>
      <c r="BL90" s="707"/>
      <c r="BM90" s="707"/>
      <c r="BN90" s="707"/>
      <c r="BO90" s="707"/>
      <c r="BP90" s="707"/>
      <c r="BQ90" s="707"/>
      <c r="BR90" s="707"/>
      <c r="BS90" s="707"/>
      <c r="BT90" s="707"/>
      <c r="BU90" s="707"/>
      <c r="BV90" s="707"/>
      <c r="BW90" s="707"/>
      <c r="BX90" s="707"/>
      <c r="BY90" s="707"/>
      <c r="BZ90" s="707"/>
    </row>
    <row r="91" spans="1:78" ht="15">
      <c r="A91" s="707"/>
      <c r="B91" s="707"/>
      <c r="C91" s="707"/>
      <c r="D91" s="707"/>
      <c r="E91" s="707"/>
      <c r="F91" s="707"/>
      <c r="G91" s="707"/>
      <c r="H91" s="708"/>
      <c r="I91" s="708"/>
      <c r="J91" s="708"/>
      <c r="K91" s="708"/>
      <c r="L91" s="708"/>
      <c r="M91" s="708"/>
      <c r="N91" s="708"/>
      <c r="O91" s="708"/>
      <c r="P91" s="707"/>
      <c r="Q91" s="707"/>
      <c r="R91" s="707"/>
      <c r="S91" s="707"/>
      <c r="T91" s="707"/>
      <c r="U91" s="707"/>
      <c r="V91" s="707"/>
      <c r="W91" s="707"/>
      <c r="X91" s="707"/>
      <c r="Y91" s="707"/>
      <c r="Z91" s="707"/>
      <c r="AA91" s="707"/>
      <c r="AB91" s="707"/>
      <c r="AC91" s="707"/>
      <c r="AD91" s="707"/>
      <c r="AE91" s="707"/>
      <c r="AF91" s="707"/>
      <c r="AG91" s="707"/>
      <c r="AH91" s="707"/>
      <c r="AI91" s="707"/>
      <c r="AJ91" s="707"/>
      <c r="AK91" s="707"/>
      <c r="AL91" s="707"/>
      <c r="AM91" s="707"/>
      <c r="AN91" s="707"/>
      <c r="AO91" s="707"/>
      <c r="AP91" s="707"/>
      <c r="AQ91" s="707"/>
      <c r="AR91" s="707"/>
      <c r="AS91" s="707"/>
      <c r="AT91" s="707"/>
      <c r="AU91" s="707"/>
      <c r="AV91" s="707"/>
      <c r="AW91" s="707"/>
      <c r="AX91" s="707"/>
      <c r="AY91" s="707"/>
      <c r="AZ91" s="707"/>
      <c r="BA91" s="707"/>
      <c r="BB91" s="707"/>
      <c r="BC91" s="707"/>
      <c r="BD91" s="707"/>
      <c r="BE91" s="707"/>
      <c r="BF91" s="707"/>
      <c r="BG91" s="707"/>
      <c r="BH91" s="707"/>
      <c r="BI91" s="707"/>
      <c r="BJ91" s="707"/>
      <c r="BK91" s="707"/>
      <c r="BL91" s="707"/>
      <c r="BM91" s="707"/>
      <c r="BN91" s="707"/>
      <c r="BO91" s="707"/>
      <c r="BP91" s="707"/>
      <c r="BQ91" s="707"/>
      <c r="BR91" s="707"/>
      <c r="BS91" s="707"/>
      <c r="BT91" s="707"/>
      <c r="BU91" s="707"/>
      <c r="BV91" s="707"/>
      <c r="BW91" s="707"/>
      <c r="BX91" s="707"/>
      <c r="BY91" s="707"/>
      <c r="BZ91" s="707"/>
    </row>
    <row r="92" spans="1:78" ht="15">
      <c r="A92" s="707"/>
      <c r="B92" s="707"/>
      <c r="C92" s="707"/>
      <c r="D92" s="707"/>
      <c r="E92" s="707"/>
      <c r="F92" s="707"/>
      <c r="G92" s="707"/>
      <c r="H92" s="708"/>
      <c r="I92" s="708"/>
      <c r="J92" s="708"/>
      <c r="K92" s="708"/>
      <c r="L92" s="708"/>
      <c r="M92" s="708"/>
      <c r="N92" s="708"/>
      <c r="O92" s="708"/>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7"/>
      <c r="AO92" s="707"/>
      <c r="AP92" s="707"/>
      <c r="AQ92" s="707"/>
      <c r="AR92" s="707"/>
      <c r="AS92" s="707"/>
      <c r="AT92" s="707"/>
      <c r="AU92" s="707"/>
      <c r="AV92" s="707"/>
      <c r="AW92" s="707"/>
      <c r="AX92" s="707"/>
      <c r="AY92" s="707"/>
      <c r="AZ92" s="707"/>
      <c r="BA92" s="707"/>
      <c r="BB92" s="707"/>
      <c r="BC92" s="707"/>
      <c r="BD92" s="707"/>
      <c r="BE92" s="707"/>
      <c r="BF92" s="707"/>
      <c r="BG92" s="707"/>
      <c r="BH92" s="707"/>
      <c r="BI92" s="707"/>
      <c r="BJ92" s="707"/>
      <c r="BK92" s="707"/>
      <c r="BL92" s="707"/>
      <c r="BM92" s="707"/>
      <c r="BN92" s="707"/>
      <c r="BO92" s="707"/>
      <c r="BP92" s="707"/>
      <c r="BQ92" s="707"/>
      <c r="BR92" s="707"/>
      <c r="BS92" s="707"/>
      <c r="BT92" s="707"/>
      <c r="BU92" s="707"/>
      <c r="BV92" s="707"/>
      <c r="BW92" s="707"/>
      <c r="BX92" s="707"/>
      <c r="BY92" s="707"/>
      <c r="BZ92" s="707"/>
    </row>
    <row r="93" spans="1:78" ht="15">
      <c r="A93" s="707"/>
      <c r="B93" s="707"/>
      <c r="C93" s="707"/>
      <c r="D93" s="707"/>
      <c r="E93" s="707"/>
      <c r="F93" s="707"/>
      <c r="G93" s="707"/>
      <c r="H93" s="708"/>
      <c r="I93" s="708"/>
      <c r="J93" s="708"/>
      <c r="K93" s="708"/>
      <c r="L93" s="708"/>
      <c r="M93" s="708"/>
      <c r="N93" s="708"/>
      <c r="O93" s="708"/>
      <c r="P93" s="707"/>
      <c r="Q93" s="707"/>
      <c r="R93" s="707"/>
      <c r="S93" s="707"/>
      <c r="T93" s="707"/>
      <c r="U93" s="707"/>
      <c r="V93" s="707"/>
      <c r="W93" s="707"/>
      <c r="X93" s="707"/>
      <c r="Y93" s="707"/>
      <c r="Z93" s="707"/>
      <c r="AA93" s="707"/>
      <c r="AB93" s="707"/>
      <c r="AC93" s="707"/>
      <c r="AD93" s="707"/>
      <c r="AE93" s="707"/>
      <c r="AF93" s="707"/>
      <c r="AG93" s="707"/>
      <c r="AH93" s="707"/>
      <c r="AI93" s="707"/>
      <c r="AJ93" s="707"/>
      <c r="AK93" s="707"/>
      <c r="AL93" s="707"/>
      <c r="AM93" s="707"/>
      <c r="AN93" s="707"/>
      <c r="AO93" s="707"/>
      <c r="AP93" s="707"/>
      <c r="AQ93" s="707"/>
      <c r="AR93" s="707"/>
      <c r="AS93" s="707"/>
      <c r="AT93" s="707"/>
      <c r="AU93" s="707"/>
      <c r="AV93" s="707"/>
      <c r="AW93" s="707"/>
      <c r="AX93" s="707"/>
      <c r="AY93" s="707"/>
      <c r="AZ93" s="707"/>
      <c r="BA93" s="707"/>
      <c r="BB93" s="707"/>
      <c r="BC93" s="707"/>
      <c r="BD93" s="707"/>
      <c r="BE93" s="707"/>
      <c r="BF93" s="707"/>
      <c r="BG93" s="707"/>
      <c r="BH93" s="707"/>
      <c r="BI93" s="707"/>
      <c r="BJ93" s="707"/>
      <c r="BK93" s="707"/>
      <c r="BL93" s="707"/>
      <c r="BM93" s="707"/>
      <c r="BN93" s="707"/>
      <c r="BO93" s="707"/>
      <c r="BP93" s="707"/>
      <c r="BQ93" s="707"/>
      <c r="BR93" s="707"/>
      <c r="BS93" s="707"/>
      <c r="BT93" s="707"/>
      <c r="BU93" s="707"/>
      <c r="BV93" s="707"/>
      <c r="BW93" s="707"/>
      <c r="BX93" s="707"/>
      <c r="BY93" s="707"/>
      <c r="BZ93" s="707"/>
    </row>
    <row r="94" spans="1:78" ht="15">
      <c r="A94" s="707"/>
      <c r="B94" s="707"/>
      <c r="C94" s="707"/>
      <c r="D94" s="707"/>
      <c r="E94" s="707"/>
      <c r="F94" s="707"/>
      <c r="G94" s="707"/>
      <c r="H94" s="708"/>
      <c r="I94" s="708"/>
      <c r="J94" s="708"/>
      <c r="K94" s="708"/>
      <c r="L94" s="708"/>
      <c r="M94" s="708"/>
      <c r="N94" s="708"/>
      <c r="O94" s="708"/>
      <c r="P94" s="707"/>
      <c r="Q94" s="707"/>
      <c r="R94" s="707"/>
      <c r="S94" s="707"/>
      <c r="T94" s="707"/>
      <c r="U94" s="707"/>
      <c r="V94" s="707"/>
      <c r="W94" s="707"/>
      <c r="X94" s="707"/>
      <c r="Y94" s="707"/>
      <c r="Z94" s="707"/>
      <c r="AA94" s="707"/>
      <c r="AB94" s="707"/>
      <c r="AC94" s="707"/>
      <c r="AD94" s="707"/>
      <c r="AE94" s="707"/>
      <c r="AF94" s="707"/>
      <c r="AG94" s="707"/>
      <c r="AH94" s="707"/>
      <c r="AI94" s="707"/>
      <c r="AJ94" s="707"/>
      <c r="AK94" s="707"/>
      <c r="AL94" s="707"/>
      <c r="AM94" s="707"/>
      <c r="AN94" s="707"/>
      <c r="AO94" s="707"/>
      <c r="AP94" s="707"/>
      <c r="AQ94" s="707"/>
      <c r="AR94" s="707"/>
      <c r="AS94" s="707"/>
      <c r="AT94" s="707"/>
      <c r="AU94" s="707"/>
      <c r="AV94" s="707"/>
      <c r="AW94" s="707"/>
      <c r="AX94" s="707"/>
      <c r="AY94" s="707"/>
      <c r="AZ94" s="707"/>
      <c r="BA94" s="707"/>
      <c r="BB94" s="707"/>
      <c r="BC94" s="707"/>
      <c r="BD94" s="707"/>
      <c r="BE94" s="707"/>
      <c r="BF94" s="707"/>
      <c r="BG94" s="707"/>
      <c r="BH94" s="707"/>
      <c r="BI94" s="707"/>
      <c r="BJ94" s="707"/>
      <c r="BK94" s="707"/>
      <c r="BL94" s="707"/>
      <c r="BM94" s="707"/>
      <c r="BN94" s="707"/>
      <c r="BO94" s="707"/>
      <c r="BP94" s="707"/>
      <c r="BQ94" s="707"/>
      <c r="BR94" s="707"/>
      <c r="BS94" s="707"/>
      <c r="BT94" s="707"/>
      <c r="BU94" s="707"/>
      <c r="BV94" s="707"/>
      <c r="BW94" s="707"/>
      <c r="BX94" s="707"/>
      <c r="BY94" s="707"/>
      <c r="BZ94" s="707"/>
    </row>
    <row r="95" spans="1:78" ht="15">
      <c r="A95" s="707"/>
      <c r="B95" s="707"/>
      <c r="C95" s="707"/>
      <c r="D95" s="707"/>
      <c r="E95" s="707"/>
      <c r="F95" s="707"/>
      <c r="G95" s="707"/>
      <c r="H95" s="708"/>
      <c r="I95" s="708"/>
      <c r="J95" s="708"/>
      <c r="K95" s="708"/>
      <c r="L95" s="708"/>
      <c r="M95" s="708"/>
      <c r="N95" s="708"/>
      <c r="O95" s="708"/>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7"/>
      <c r="AZ95" s="707"/>
      <c r="BA95" s="707"/>
      <c r="BB95" s="707"/>
      <c r="BC95" s="707"/>
      <c r="BD95" s="707"/>
      <c r="BE95" s="707"/>
      <c r="BF95" s="707"/>
      <c r="BG95" s="707"/>
      <c r="BH95" s="707"/>
      <c r="BI95" s="707"/>
      <c r="BJ95" s="707"/>
      <c r="BK95" s="707"/>
      <c r="BL95" s="707"/>
      <c r="BM95" s="707"/>
      <c r="BN95" s="707"/>
      <c r="BO95" s="707"/>
      <c r="BP95" s="707"/>
      <c r="BQ95" s="707"/>
      <c r="BR95" s="707"/>
      <c r="BS95" s="707"/>
      <c r="BT95" s="707"/>
      <c r="BU95" s="707"/>
      <c r="BV95" s="707"/>
      <c r="BW95" s="707"/>
      <c r="BX95" s="707"/>
      <c r="BY95" s="707"/>
      <c r="BZ95" s="707"/>
    </row>
    <row r="96" spans="1:78" ht="15">
      <c r="A96" s="707"/>
      <c r="B96" s="707"/>
      <c r="C96" s="707"/>
      <c r="D96" s="707"/>
      <c r="E96" s="707"/>
      <c r="F96" s="707"/>
      <c r="G96" s="707"/>
      <c r="H96" s="708"/>
      <c r="I96" s="708"/>
      <c r="J96" s="708"/>
      <c r="K96" s="708"/>
      <c r="L96" s="708"/>
      <c r="M96" s="708"/>
      <c r="N96" s="708"/>
      <c r="O96" s="708"/>
      <c r="P96" s="707"/>
      <c r="Q96" s="707"/>
      <c r="R96" s="707"/>
      <c r="S96" s="707"/>
      <c r="T96" s="707"/>
      <c r="U96" s="707"/>
      <c r="V96" s="707"/>
      <c r="W96" s="707"/>
      <c r="X96" s="707"/>
      <c r="Y96" s="707"/>
      <c r="Z96" s="707"/>
      <c r="AA96" s="707"/>
      <c r="AB96" s="707"/>
      <c r="AC96" s="707"/>
      <c r="AD96" s="707"/>
      <c r="AE96" s="707"/>
      <c r="AF96" s="707"/>
      <c r="AG96" s="707"/>
      <c r="AH96" s="707"/>
      <c r="AI96" s="707"/>
      <c r="AJ96" s="707"/>
      <c r="AK96" s="707"/>
      <c r="AL96" s="707"/>
      <c r="AM96" s="707"/>
      <c r="AN96" s="707"/>
      <c r="AO96" s="707"/>
      <c r="AP96" s="707"/>
      <c r="AQ96" s="707"/>
      <c r="AR96" s="707"/>
      <c r="AS96" s="707"/>
      <c r="AT96" s="707"/>
      <c r="AU96" s="707"/>
      <c r="AV96" s="707"/>
      <c r="AW96" s="707"/>
      <c r="AX96" s="707"/>
      <c r="AY96" s="707"/>
      <c r="AZ96" s="707"/>
      <c r="BA96" s="707"/>
      <c r="BB96" s="707"/>
      <c r="BC96" s="707"/>
      <c r="BD96" s="707"/>
      <c r="BE96" s="707"/>
      <c r="BF96" s="707"/>
      <c r="BG96" s="707"/>
      <c r="BH96" s="707"/>
      <c r="BI96" s="707"/>
      <c r="BJ96" s="707"/>
      <c r="BK96" s="707"/>
      <c r="BL96" s="707"/>
      <c r="BM96" s="707"/>
      <c r="BN96" s="707"/>
      <c r="BO96" s="707"/>
      <c r="BP96" s="707"/>
      <c r="BQ96" s="707"/>
      <c r="BR96" s="707"/>
      <c r="BS96" s="707"/>
      <c r="BT96" s="707"/>
      <c r="BU96" s="707"/>
      <c r="BV96" s="707"/>
      <c r="BW96" s="707"/>
      <c r="BX96" s="707"/>
      <c r="BY96" s="707"/>
      <c r="BZ96" s="707"/>
    </row>
    <row r="97" spans="1:78" ht="15">
      <c r="A97" s="707"/>
      <c r="B97" s="707"/>
      <c r="C97" s="707"/>
      <c r="D97" s="707"/>
      <c r="E97" s="707"/>
      <c r="F97" s="707"/>
      <c r="G97" s="707"/>
      <c r="H97" s="708"/>
      <c r="I97" s="708"/>
      <c r="J97" s="708"/>
      <c r="K97" s="708"/>
      <c r="L97" s="708"/>
      <c r="M97" s="708"/>
      <c r="N97" s="708"/>
      <c r="O97" s="708"/>
      <c r="P97" s="707"/>
      <c r="Q97" s="707"/>
      <c r="R97" s="707"/>
      <c r="S97" s="707"/>
      <c r="T97" s="707"/>
      <c r="U97" s="707"/>
      <c r="V97" s="707"/>
      <c r="W97" s="707"/>
      <c r="X97" s="707"/>
      <c r="Y97" s="707"/>
      <c r="Z97" s="707"/>
      <c r="AA97" s="707"/>
      <c r="AB97" s="707"/>
      <c r="AC97" s="707"/>
      <c r="AD97" s="707"/>
      <c r="AE97" s="707"/>
      <c r="AF97" s="707"/>
      <c r="AG97" s="707"/>
      <c r="AH97" s="707"/>
      <c r="AI97" s="707"/>
      <c r="AJ97" s="707"/>
      <c r="AK97" s="707"/>
      <c r="AL97" s="707"/>
      <c r="AM97" s="707"/>
      <c r="AN97" s="707"/>
      <c r="AO97" s="707"/>
      <c r="AP97" s="707"/>
      <c r="AQ97" s="707"/>
      <c r="AR97" s="707"/>
      <c r="AS97" s="707"/>
      <c r="AT97" s="707"/>
      <c r="AU97" s="707"/>
      <c r="AV97" s="707"/>
      <c r="AW97" s="707"/>
      <c r="AX97" s="707"/>
      <c r="AY97" s="707"/>
      <c r="AZ97" s="707"/>
      <c r="BA97" s="707"/>
      <c r="BB97" s="707"/>
      <c r="BC97" s="707"/>
      <c r="BD97" s="707"/>
      <c r="BE97" s="707"/>
      <c r="BF97" s="707"/>
      <c r="BG97" s="707"/>
      <c r="BH97" s="707"/>
      <c r="BI97" s="707"/>
      <c r="BJ97" s="707"/>
      <c r="BK97" s="707"/>
      <c r="BL97" s="707"/>
      <c r="BM97" s="707"/>
      <c r="BN97" s="707"/>
      <c r="BO97" s="707"/>
      <c r="BP97" s="707"/>
      <c r="BQ97" s="707"/>
      <c r="BR97" s="707"/>
      <c r="BS97" s="707"/>
      <c r="BT97" s="707"/>
      <c r="BU97" s="707"/>
      <c r="BV97" s="707"/>
      <c r="BW97" s="707"/>
      <c r="BX97" s="707"/>
      <c r="BY97" s="707"/>
      <c r="BZ97" s="707"/>
    </row>
    <row r="98" spans="1:78" ht="15">
      <c r="A98" s="707"/>
      <c r="B98" s="707"/>
      <c r="C98" s="707"/>
      <c r="D98" s="707"/>
      <c r="E98" s="707"/>
      <c r="F98" s="707"/>
      <c r="G98" s="707"/>
      <c r="H98" s="708"/>
      <c r="I98" s="708"/>
      <c r="J98" s="708"/>
      <c r="K98" s="708"/>
      <c r="L98" s="708"/>
      <c r="M98" s="708"/>
      <c r="N98" s="708"/>
      <c r="O98" s="708"/>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7"/>
      <c r="AY98" s="707"/>
      <c r="AZ98" s="707"/>
      <c r="BA98" s="707"/>
      <c r="BB98" s="707"/>
      <c r="BC98" s="707"/>
      <c r="BD98" s="707"/>
      <c r="BE98" s="707"/>
      <c r="BF98" s="707"/>
      <c r="BG98" s="707"/>
      <c r="BH98" s="707"/>
      <c r="BI98" s="707"/>
      <c r="BJ98" s="707"/>
      <c r="BK98" s="707"/>
      <c r="BL98" s="707"/>
      <c r="BM98" s="707"/>
      <c r="BN98" s="707"/>
      <c r="BO98" s="707"/>
      <c r="BP98" s="707"/>
      <c r="BQ98" s="707"/>
      <c r="BR98" s="707"/>
      <c r="BS98" s="707"/>
      <c r="BT98" s="707"/>
      <c r="BU98" s="707"/>
      <c r="BV98" s="707"/>
      <c r="BW98" s="707"/>
      <c r="BX98" s="707"/>
      <c r="BY98" s="707"/>
      <c r="BZ98" s="707"/>
    </row>
    <row r="99" spans="1:78" ht="15">
      <c r="A99" s="707"/>
      <c r="B99" s="707"/>
      <c r="C99" s="707"/>
      <c r="D99" s="707"/>
      <c r="E99" s="707"/>
      <c r="F99" s="707"/>
      <c r="G99" s="707"/>
      <c r="H99" s="708"/>
      <c r="I99" s="708"/>
      <c r="J99" s="708"/>
      <c r="K99" s="708"/>
      <c r="L99" s="708"/>
      <c r="M99" s="708"/>
      <c r="N99" s="708"/>
      <c r="O99" s="708"/>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7"/>
      <c r="AY99" s="707"/>
      <c r="AZ99" s="707"/>
      <c r="BA99" s="707"/>
      <c r="BB99" s="707"/>
      <c r="BC99" s="707"/>
      <c r="BD99" s="707"/>
      <c r="BE99" s="707"/>
      <c r="BF99" s="707"/>
      <c r="BG99" s="707"/>
      <c r="BH99" s="707"/>
      <c r="BI99" s="707"/>
      <c r="BJ99" s="707"/>
      <c r="BK99" s="707"/>
      <c r="BL99" s="707"/>
      <c r="BM99" s="707"/>
      <c r="BN99" s="707"/>
      <c r="BO99" s="707"/>
      <c r="BP99" s="707"/>
      <c r="BQ99" s="707"/>
      <c r="BR99" s="707"/>
      <c r="BS99" s="707"/>
      <c r="BT99" s="707"/>
      <c r="BU99" s="707"/>
      <c r="BV99" s="707"/>
      <c r="BW99" s="707"/>
      <c r="BX99" s="707"/>
      <c r="BY99" s="707"/>
      <c r="BZ99" s="707"/>
    </row>
    <row r="100" spans="1:78" ht="15">
      <c r="A100" s="707"/>
      <c r="B100" s="707"/>
      <c r="C100" s="707"/>
      <c r="D100" s="707"/>
      <c r="E100" s="707"/>
      <c r="F100" s="707"/>
      <c r="G100" s="707"/>
      <c r="H100" s="708"/>
      <c r="I100" s="708"/>
      <c r="J100" s="708"/>
      <c r="K100" s="708"/>
      <c r="L100" s="708"/>
      <c r="M100" s="708"/>
      <c r="N100" s="708"/>
      <c r="O100" s="708"/>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7"/>
      <c r="AY100" s="707"/>
      <c r="AZ100" s="707"/>
      <c r="BA100" s="707"/>
      <c r="BB100" s="707"/>
      <c r="BC100" s="707"/>
      <c r="BD100" s="707"/>
      <c r="BE100" s="707"/>
      <c r="BF100" s="707"/>
      <c r="BG100" s="707"/>
      <c r="BH100" s="707"/>
      <c r="BI100" s="707"/>
      <c r="BJ100" s="707"/>
      <c r="BK100" s="707"/>
      <c r="BL100" s="707"/>
      <c r="BM100" s="707"/>
      <c r="BN100" s="707"/>
      <c r="BO100" s="707"/>
      <c r="BP100" s="707"/>
      <c r="BQ100" s="707"/>
      <c r="BR100" s="707"/>
      <c r="BS100" s="707"/>
      <c r="BT100" s="707"/>
      <c r="BU100" s="707"/>
      <c r="BV100" s="707"/>
      <c r="BW100" s="707"/>
      <c r="BX100" s="707"/>
      <c r="BY100" s="707"/>
      <c r="BZ100" s="707"/>
    </row>
    <row r="101" spans="1:78" ht="15">
      <c r="A101" s="707"/>
      <c r="B101" s="707"/>
      <c r="C101" s="707"/>
      <c r="D101" s="707"/>
      <c r="E101" s="707"/>
      <c r="F101" s="707"/>
      <c r="G101" s="707"/>
      <c r="H101" s="708"/>
      <c r="I101" s="708"/>
      <c r="J101" s="708"/>
      <c r="K101" s="708"/>
      <c r="L101" s="708"/>
      <c r="M101" s="708"/>
      <c r="N101" s="708"/>
      <c r="O101" s="708"/>
      <c r="P101" s="707"/>
      <c r="Q101" s="707"/>
      <c r="R101" s="707"/>
      <c r="S101" s="707"/>
      <c r="T101" s="707"/>
      <c r="U101" s="707"/>
      <c r="V101" s="707"/>
      <c r="W101" s="707"/>
      <c r="X101" s="707"/>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7"/>
      <c r="AY101" s="707"/>
      <c r="AZ101" s="707"/>
      <c r="BA101" s="707"/>
      <c r="BB101" s="707"/>
      <c r="BC101" s="707"/>
      <c r="BD101" s="707"/>
      <c r="BE101" s="707"/>
      <c r="BF101" s="707"/>
      <c r="BG101" s="707"/>
      <c r="BH101" s="707"/>
      <c r="BI101" s="707"/>
      <c r="BJ101" s="707"/>
      <c r="BK101" s="707"/>
      <c r="BL101" s="707"/>
      <c r="BM101" s="707"/>
      <c r="BN101" s="707"/>
      <c r="BO101" s="707"/>
      <c r="BP101" s="707"/>
      <c r="BQ101" s="707"/>
      <c r="BR101" s="707"/>
      <c r="BS101" s="707"/>
      <c r="BT101" s="707"/>
      <c r="BU101" s="707"/>
      <c r="BV101" s="707"/>
      <c r="BW101" s="707"/>
      <c r="BX101" s="707"/>
      <c r="BY101" s="707"/>
      <c r="BZ101" s="707"/>
    </row>
    <row r="102" spans="1:78" ht="15">
      <c r="A102" s="707"/>
      <c r="B102" s="707"/>
      <c r="C102" s="707"/>
      <c r="D102" s="707"/>
      <c r="E102" s="707"/>
      <c r="F102" s="707"/>
      <c r="G102" s="707"/>
      <c r="H102" s="708"/>
      <c r="I102" s="708"/>
      <c r="J102" s="708"/>
      <c r="K102" s="708"/>
      <c r="L102" s="708"/>
      <c r="M102" s="708"/>
      <c r="N102" s="708"/>
      <c r="O102" s="708"/>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7"/>
      <c r="AY102" s="707"/>
      <c r="AZ102" s="707"/>
      <c r="BA102" s="707"/>
      <c r="BB102" s="707"/>
      <c r="BC102" s="707"/>
      <c r="BD102" s="707"/>
      <c r="BE102" s="707"/>
      <c r="BF102" s="707"/>
      <c r="BG102" s="707"/>
      <c r="BH102" s="707"/>
      <c r="BI102" s="707"/>
      <c r="BJ102" s="707"/>
      <c r="BK102" s="707"/>
      <c r="BL102" s="707"/>
      <c r="BM102" s="707"/>
      <c r="BN102" s="707"/>
      <c r="BO102" s="707"/>
      <c r="BP102" s="707"/>
      <c r="BQ102" s="707"/>
      <c r="BR102" s="707"/>
      <c r="BS102" s="707"/>
      <c r="BT102" s="707"/>
      <c r="BU102" s="707"/>
      <c r="BV102" s="707"/>
      <c r="BW102" s="707"/>
      <c r="BX102" s="707"/>
      <c r="BY102" s="707"/>
      <c r="BZ102" s="707"/>
    </row>
    <row r="103" spans="1:78" ht="15">
      <c r="A103" s="707"/>
      <c r="B103" s="707"/>
      <c r="C103" s="707"/>
      <c r="D103" s="707"/>
      <c r="E103" s="707"/>
      <c r="F103" s="707"/>
      <c r="G103" s="707"/>
      <c r="H103" s="708"/>
      <c r="I103" s="708"/>
      <c r="J103" s="708"/>
      <c r="K103" s="708"/>
      <c r="L103" s="708"/>
      <c r="M103" s="708"/>
      <c r="N103" s="708"/>
      <c r="O103" s="708"/>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7"/>
      <c r="AY103" s="707"/>
      <c r="AZ103" s="707"/>
      <c r="BA103" s="707"/>
      <c r="BB103" s="707"/>
      <c r="BC103" s="707"/>
      <c r="BD103" s="707"/>
      <c r="BE103" s="707"/>
      <c r="BF103" s="707"/>
      <c r="BG103" s="707"/>
      <c r="BH103" s="707"/>
      <c r="BI103" s="707"/>
      <c r="BJ103" s="707"/>
      <c r="BK103" s="707"/>
      <c r="BL103" s="707"/>
      <c r="BM103" s="707"/>
      <c r="BN103" s="707"/>
      <c r="BO103" s="707"/>
      <c r="BP103" s="707"/>
      <c r="BQ103" s="707"/>
      <c r="BR103" s="707"/>
      <c r="BS103" s="707"/>
      <c r="BT103" s="707"/>
      <c r="BU103" s="707"/>
      <c r="BV103" s="707"/>
      <c r="BW103" s="707"/>
      <c r="BX103" s="707"/>
      <c r="BY103" s="707"/>
      <c r="BZ103" s="707"/>
    </row>
    <row r="104" spans="1:78" ht="15">
      <c r="A104" s="707"/>
      <c r="B104" s="707"/>
      <c r="C104" s="707"/>
      <c r="D104" s="707"/>
      <c r="E104" s="707"/>
      <c r="F104" s="707"/>
      <c r="G104" s="707"/>
      <c r="H104" s="708"/>
      <c r="I104" s="708"/>
      <c r="J104" s="708"/>
      <c r="K104" s="708"/>
      <c r="L104" s="708"/>
      <c r="M104" s="708"/>
      <c r="N104" s="708"/>
      <c r="O104" s="708"/>
      <c r="P104" s="707"/>
      <c r="Q104" s="707"/>
      <c r="R104" s="707"/>
      <c r="S104" s="707"/>
      <c r="T104" s="707"/>
      <c r="U104" s="707"/>
      <c r="V104" s="707"/>
      <c r="W104" s="707"/>
      <c r="X104" s="707"/>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7"/>
      <c r="AY104" s="707"/>
      <c r="AZ104" s="707"/>
      <c r="BA104" s="707"/>
      <c r="BB104" s="707"/>
      <c r="BC104" s="707"/>
      <c r="BD104" s="707"/>
      <c r="BE104" s="707"/>
      <c r="BF104" s="707"/>
      <c r="BG104" s="707"/>
      <c r="BH104" s="707"/>
      <c r="BI104" s="707"/>
      <c r="BJ104" s="707"/>
      <c r="BK104" s="707"/>
      <c r="BL104" s="707"/>
      <c r="BM104" s="707"/>
      <c r="BN104" s="707"/>
      <c r="BO104" s="707"/>
      <c r="BP104" s="707"/>
      <c r="BQ104" s="707"/>
      <c r="BR104" s="707"/>
      <c r="BS104" s="707"/>
      <c r="BT104" s="707"/>
      <c r="BU104" s="707"/>
      <c r="BV104" s="707"/>
      <c r="BW104" s="707"/>
      <c r="BX104" s="707"/>
      <c r="BY104" s="707"/>
      <c r="BZ104" s="707"/>
    </row>
    <row r="105" spans="1:78" ht="15">
      <c r="A105" s="707"/>
      <c r="B105" s="707"/>
      <c r="C105" s="707"/>
      <c r="D105" s="707"/>
      <c r="E105" s="707"/>
      <c r="F105" s="707"/>
      <c r="G105" s="707"/>
      <c r="H105" s="708"/>
      <c r="I105" s="708"/>
      <c r="J105" s="708"/>
      <c r="K105" s="708"/>
      <c r="L105" s="708"/>
      <c r="M105" s="708"/>
      <c r="N105" s="708"/>
      <c r="O105" s="708"/>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7"/>
      <c r="AY105" s="707"/>
      <c r="AZ105" s="707"/>
      <c r="BA105" s="707"/>
      <c r="BB105" s="707"/>
      <c r="BC105" s="707"/>
      <c r="BD105" s="707"/>
      <c r="BE105" s="707"/>
      <c r="BF105" s="707"/>
      <c r="BG105" s="707"/>
      <c r="BH105" s="707"/>
      <c r="BI105" s="707"/>
      <c r="BJ105" s="707"/>
      <c r="BK105" s="707"/>
      <c r="BL105" s="707"/>
      <c r="BM105" s="707"/>
      <c r="BN105" s="707"/>
      <c r="BO105" s="707"/>
      <c r="BP105" s="707"/>
      <c r="BQ105" s="707"/>
      <c r="BR105" s="707"/>
      <c r="BS105" s="707"/>
      <c r="BT105" s="707"/>
      <c r="BU105" s="707"/>
      <c r="BV105" s="707"/>
      <c r="BW105" s="707"/>
      <c r="BX105" s="707"/>
      <c r="BY105" s="707"/>
      <c r="BZ105" s="707"/>
    </row>
    <row r="106" spans="1:78" ht="15">
      <c r="A106" s="707"/>
      <c r="B106" s="707"/>
      <c r="C106" s="707"/>
      <c r="D106" s="707"/>
      <c r="E106" s="707"/>
      <c r="F106" s="707"/>
      <c r="G106" s="707"/>
      <c r="H106" s="708"/>
      <c r="I106" s="708"/>
      <c r="J106" s="708"/>
      <c r="K106" s="708"/>
      <c r="L106" s="708"/>
      <c r="M106" s="708"/>
      <c r="N106" s="708"/>
      <c r="O106" s="708"/>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7"/>
      <c r="AY106" s="707"/>
      <c r="AZ106" s="707"/>
      <c r="BA106" s="707"/>
      <c r="BB106" s="707"/>
      <c r="BC106" s="707"/>
      <c r="BD106" s="707"/>
      <c r="BE106" s="707"/>
      <c r="BF106" s="707"/>
      <c r="BG106" s="707"/>
      <c r="BH106" s="707"/>
      <c r="BI106" s="707"/>
      <c r="BJ106" s="707"/>
      <c r="BK106" s="707"/>
      <c r="BL106" s="707"/>
      <c r="BM106" s="707"/>
      <c r="BN106" s="707"/>
      <c r="BO106" s="707"/>
      <c r="BP106" s="707"/>
      <c r="BQ106" s="707"/>
      <c r="BR106" s="707"/>
      <c r="BS106" s="707"/>
      <c r="BT106" s="707"/>
      <c r="BU106" s="707"/>
      <c r="BV106" s="707"/>
      <c r="BW106" s="707"/>
      <c r="BX106" s="707"/>
      <c r="BY106" s="707"/>
      <c r="BZ106" s="707"/>
    </row>
    <row r="107" spans="1:78" ht="15">
      <c r="A107" s="707"/>
      <c r="B107" s="707"/>
      <c r="C107" s="707"/>
      <c r="D107" s="707"/>
      <c r="E107" s="707"/>
      <c r="F107" s="707"/>
      <c r="G107" s="707"/>
      <c r="H107" s="708"/>
      <c r="I107" s="708"/>
      <c r="J107" s="708"/>
      <c r="K107" s="708"/>
      <c r="L107" s="708"/>
      <c r="M107" s="708"/>
      <c r="N107" s="708"/>
      <c r="O107" s="708"/>
      <c r="P107" s="707"/>
      <c r="Q107" s="707"/>
      <c r="R107" s="707"/>
      <c r="S107" s="707"/>
      <c r="T107" s="707"/>
      <c r="U107" s="707"/>
      <c r="V107" s="707"/>
      <c r="W107" s="707"/>
      <c r="X107" s="707"/>
      <c r="Y107" s="707"/>
      <c r="Z107" s="707"/>
      <c r="AA107" s="707"/>
      <c r="AB107" s="707"/>
      <c r="AC107" s="707"/>
      <c r="AD107" s="707"/>
      <c r="AE107" s="707"/>
      <c r="AF107" s="707"/>
      <c r="AG107" s="707"/>
      <c r="AH107" s="707"/>
      <c r="AI107" s="707"/>
      <c r="AJ107" s="707"/>
      <c r="AK107" s="707"/>
      <c r="AL107" s="707"/>
      <c r="AM107" s="707"/>
      <c r="AN107" s="707"/>
      <c r="AO107" s="707"/>
      <c r="AP107" s="707"/>
      <c r="AQ107" s="707"/>
      <c r="AR107" s="707"/>
      <c r="AS107" s="707"/>
      <c r="AT107" s="707"/>
      <c r="AU107" s="707"/>
      <c r="AV107" s="707"/>
      <c r="AW107" s="707"/>
      <c r="AX107" s="707"/>
      <c r="AY107" s="707"/>
      <c r="AZ107" s="707"/>
      <c r="BA107" s="707"/>
      <c r="BB107" s="707"/>
      <c r="BC107" s="707"/>
      <c r="BD107" s="707"/>
      <c r="BE107" s="707"/>
      <c r="BF107" s="707"/>
      <c r="BG107" s="707"/>
      <c r="BH107" s="707"/>
      <c r="BI107" s="707"/>
      <c r="BJ107" s="707"/>
      <c r="BK107" s="707"/>
      <c r="BL107" s="707"/>
      <c r="BM107" s="707"/>
      <c r="BN107" s="707"/>
      <c r="BO107" s="707"/>
      <c r="BP107" s="707"/>
      <c r="BQ107" s="707"/>
      <c r="BR107" s="707"/>
      <c r="BS107" s="707"/>
      <c r="BT107" s="707"/>
      <c r="BU107" s="707"/>
      <c r="BV107" s="707"/>
      <c r="BW107" s="707"/>
      <c r="BX107" s="707"/>
      <c r="BY107" s="707"/>
      <c r="BZ107" s="707"/>
    </row>
    <row r="108" spans="1:78" ht="15">
      <c r="A108" s="707"/>
      <c r="B108" s="707"/>
      <c r="C108" s="707"/>
      <c r="D108" s="707"/>
      <c r="E108" s="707"/>
      <c r="F108" s="707"/>
      <c r="G108" s="707"/>
      <c r="H108" s="708"/>
      <c r="I108" s="708"/>
      <c r="J108" s="708"/>
      <c r="K108" s="708"/>
      <c r="L108" s="708"/>
      <c r="M108" s="708"/>
      <c r="N108" s="708"/>
      <c r="O108" s="708"/>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707"/>
      <c r="AY108" s="707"/>
      <c r="AZ108" s="707"/>
      <c r="BA108" s="707"/>
      <c r="BB108" s="707"/>
      <c r="BC108" s="707"/>
      <c r="BD108" s="707"/>
      <c r="BE108" s="707"/>
      <c r="BF108" s="707"/>
      <c r="BG108" s="707"/>
      <c r="BH108" s="707"/>
      <c r="BI108" s="707"/>
      <c r="BJ108" s="707"/>
      <c r="BK108" s="707"/>
      <c r="BL108" s="707"/>
      <c r="BM108" s="707"/>
      <c r="BN108" s="707"/>
      <c r="BO108" s="707"/>
      <c r="BP108" s="707"/>
      <c r="BQ108" s="707"/>
      <c r="BR108" s="707"/>
      <c r="BS108" s="707"/>
      <c r="BT108" s="707"/>
      <c r="BU108" s="707"/>
      <c r="BV108" s="707"/>
      <c r="BW108" s="707"/>
      <c r="BX108" s="707"/>
      <c r="BY108" s="707"/>
      <c r="BZ108" s="707"/>
    </row>
    <row r="109" spans="1:78" ht="15">
      <c r="A109" s="707"/>
      <c r="B109" s="707"/>
      <c r="C109" s="707"/>
      <c r="D109" s="707"/>
      <c r="E109" s="707"/>
      <c r="F109" s="707"/>
      <c r="G109" s="707"/>
      <c r="H109" s="708"/>
      <c r="I109" s="708"/>
      <c r="J109" s="708"/>
      <c r="K109" s="708"/>
      <c r="L109" s="708"/>
      <c r="M109" s="708"/>
      <c r="N109" s="708"/>
      <c r="O109" s="708"/>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7"/>
      <c r="AV109" s="707"/>
      <c r="AW109" s="707"/>
      <c r="AX109" s="707"/>
      <c r="AY109" s="707"/>
      <c r="AZ109" s="707"/>
      <c r="BA109" s="707"/>
      <c r="BB109" s="707"/>
      <c r="BC109" s="707"/>
      <c r="BD109" s="707"/>
      <c r="BE109" s="707"/>
      <c r="BF109" s="707"/>
      <c r="BG109" s="707"/>
      <c r="BH109" s="707"/>
      <c r="BI109" s="707"/>
      <c r="BJ109" s="707"/>
      <c r="BK109" s="707"/>
      <c r="BL109" s="707"/>
      <c r="BM109" s="707"/>
      <c r="BN109" s="707"/>
      <c r="BO109" s="707"/>
      <c r="BP109" s="707"/>
      <c r="BQ109" s="707"/>
      <c r="BR109" s="707"/>
      <c r="BS109" s="707"/>
      <c r="BT109" s="707"/>
      <c r="BU109" s="707"/>
      <c r="BV109" s="707"/>
      <c r="BW109" s="707"/>
      <c r="BX109" s="707"/>
      <c r="BY109" s="707"/>
      <c r="BZ109" s="707"/>
    </row>
    <row r="110" spans="1:78" ht="15">
      <c r="A110" s="707"/>
      <c r="B110" s="707"/>
      <c r="C110" s="707"/>
      <c r="D110" s="707"/>
      <c r="E110" s="707"/>
      <c r="F110" s="707"/>
      <c r="G110" s="707"/>
      <c r="H110" s="708"/>
      <c r="I110" s="708"/>
      <c r="J110" s="708"/>
      <c r="K110" s="708"/>
      <c r="L110" s="708"/>
      <c r="M110" s="708"/>
      <c r="N110" s="708"/>
      <c r="O110" s="708"/>
      <c r="P110" s="707"/>
      <c r="Q110" s="707"/>
      <c r="R110" s="707"/>
      <c r="S110" s="707"/>
      <c r="T110" s="707"/>
      <c r="U110" s="707"/>
      <c r="V110" s="707"/>
      <c r="W110" s="707"/>
      <c r="X110" s="707"/>
      <c r="Y110" s="707"/>
      <c r="Z110" s="707"/>
      <c r="AA110" s="707"/>
      <c r="AB110" s="707"/>
      <c r="AC110" s="707"/>
      <c r="AD110" s="707"/>
      <c r="AE110" s="707"/>
      <c r="AF110" s="707"/>
      <c r="AG110" s="707"/>
      <c r="AH110" s="707"/>
      <c r="AI110" s="707"/>
      <c r="AJ110" s="707"/>
      <c r="AK110" s="707"/>
      <c r="AL110" s="707"/>
      <c r="AM110" s="707"/>
      <c r="AN110" s="707"/>
      <c r="AO110" s="707"/>
      <c r="AP110" s="707"/>
      <c r="AQ110" s="707"/>
      <c r="AR110" s="707"/>
      <c r="AS110" s="707"/>
      <c r="AT110" s="707"/>
      <c r="AU110" s="707"/>
      <c r="AV110" s="707"/>
      <c r="AW110" s="707"/>
      <c r="AX110" s="707"/>
      <c r="AY110" s="707"/>
      <c r="AZ110" s="707"/>
      <c r="BA110" s="707"/>
      <c r="BB110" s="707"/>
      <c r="BC110" s="707"/>
      <c r="BD110" s="707"/>
      <c r="BE110" s="707"/>
      <c r="BF110" s="707"/>
      <c r="BG110" s="707"/>
      <c r="BH110" s="707"/>
      <c r="BI110" s="707"/>
      <c r="BJ110" s="707"/>
      <c r="BK110" s="707"/>
      <c r="BL110" s="707"/>
      <c r="BM110" s="707"/>
      <c r="BN110" s="707"/>
      <c r="BO110" s="707"/>
      <c r="BP110" s="707"/>
      <c r="BQ110" s="707"/>
      <c r="BR110" s="707"/>
      <c r="BS110" s="707"/>
      <c r="BT110" s="707"/>
      <c r="BU110" s="707"/>
      <c r="BV110" s="707"/>
      <c r="BW110" s="707"/>
      <c r="BX110" s="707"/>
      <c r="BY110" s="707"/>
      <c r="BZ110" s="707"/>
    </row>
    <row r="111" spans="1:78" ht="15">
      <c r="A111" s="707"/>
      <c r="B111" s="707"/>
      <c r="C111" s="707"/>
      <c r="D111" s="707"/>
      <c r="E111" s="707"/>
      <c r="F111" s="707"/>
      <c r="G111" s="707"/>
      <c r="H111" s="708"/>
      <c r="I111" s="708"/>
      <c r="J111" s="708"/>
      <c r="K111" s="708"/>
      <c r="L111" s="708"/>
      <c r="M111" s="708"/>
      <c r="N111" s="708"/>
      <c r="O111" s="708"/>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7"/>
      <c r="AZ111" s="707"/>
      <c r="BA111" s="707"/>
      <c r="BB111" s="707"/>
      <c r="BC111" s="707"/>
      <c r="BD111" s="707"/>
      <c r="BE111" s="707"/>
      <c r="BF111" s="707"/>
      <c r="BG111" s="707"/>
      <c r="BH111" s="707"/>
      <c r="BI111" s="707"/>
      <c r="BJ111" s="707"/>
      <c r="BK111" s="707"/>
      <c r="BL111" s="707"/>
      <c r="BM111" s="707"/>
      <c r="BN111" s="707"/>
      <c r="BO111" s="707"/>
      <c r="BP111" s="707"/>
      <c r="BQ111" s="707"/>
      <c r="BR111" s="707"/>
      <c r="BS111" s="707"/>
      <c r="BT111" s="707"/>
      <c r="BU111" s="707"/>
      <c r="BV111" s="707"/>
      <c r="BW111" s="707"/>
      <c r="BX111" s="707"/>
      <c r="BY111" s="707"/>
      <c r="BZ111" s="707"/>
    </row>
    <row r="112" spans="1:78" ht="15">
      <c r="A112" s="707"/>
      <c r="B112" s="707"/>
      <c r="C112" s="707"/>
      <c r="D112" s="707"/>
      <c r="E112" s="707"/>
      <c r="F112" s="707"/>
      <c r="G112" s="707"/>
      <c r="H112" s="708"/>
      <c r="I112" s="708"/>
      <c r="J112" s="708"/>
      <c r="K112" s="708"/>
      <c r="L112" s="708"/>
      <c r="M112" s="708"/>
      <c r="N112" s="708"/>
      <c r="O112" s="708"/>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707"/>
      <c r="AL112" s="707"/>
      <c r="AM112" s="707"/>
      <c r="AN112" s="707"/>
      <c r="AO112" s="707"/>
      <c r="AP112" s="707"/>
      <c r="AQ112" s="707"/>
      <c r="AR112" s="707"/>
      <c r="AS112" s="707"/>
      <c r="AT112" s="707"/>
      <c r="AU112" s="707"/>
      <c r="AV112" s="707"/>
      <c r="AW112" s="707"/>
      <c r="AX112" s="707"/>
      <c r="AY112" s="707"/>
      <c r="AZ112" s="707"/>
      <c r="BA112" s="707"/>
      <c r="BB112" s="707"/>
      <c r="BC112" s="707"/>
      <c r="BD112" s="707"/>
      <c r="BE112" s="707"/>
      <c r="BF112" s="707"/>
      <c r="BG112" s="707"/>
      <c r="BH112" s="707"/>
      <c r="BI112" s="707"/>
      <c r="BJ112" s="707"/>
      <c r="BK112" s="707"/>
      <c r="BL112" s="707"/>
      <c r="BM112" s="707"/>
      <c r="BN112" s="707"/>
      <c r="BO112" s="707"/>
      <c r="BP112" s="707"/>
      <c r="BQ112" s="707"/>
      <c r="BR112" s="707"/>
      <c r="BS112" s="707"/>
      <c r="BT112" s="707"/>
      <c r="BU112" s="707"/>
      <c r="BV112" s="707"/>
      <c r="BW112" s="707"/>
      <c r="BX112" s="707"/>
      <c r="BY112" s="707"/>
      <c r="BZ112" s="707"/>
    </row>
    <row r="113" spans="1:78" ht="15">
      <c r="A113" s="707"/>
      <c r="B113" s="707"/>
      <c r="C113" s="707"/>
      <c r="D113" s="707"/>
      <c r="E113" s="707"/>
      <c r="F113" s="707"/>
      <c r="G113" s="707"/>
      <c r="H113" s="708"/>
      <c r="I113" s="708"/>
      <c r="J113" s="708"/>
      <c r="K113" s="708"/>
      <c r="L113" s="708"/>
      <c r="M113" s="708"/>
      <c r="N113" s="708"/>
      <c r="O113" s="708"/>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7"/>
      <c r="AY113" s="707"/>
      <c r="AZ113" s="707"/>
      <c r="BA113" s="707"/>
      <c r="BB113" s="707"/>
      <c r="BC113" s="707"/>
      <c r="BD113" s="707"/>
      <c r="BE113" s="707"/>
      <c r="BF113" s="707"/>
      <c r="BG113" s="707"/>
      <c r="BH113" s="707"/>
      <c r="BI113" s="707"/>
      <c r="BJ113" s="707"/>
      <c r="BK113" s="707"/>
      <c r="BL113" s="707"/>
      <c r="BM113" s="707"/>
      <c r="BN113" s="707"/>
      <c r="BO113" s="707"/>
      <c r="BP113" s="707"/>
      <c r="BQ113" s="707"/>
      <c r="BR113" s="707"/>
      <c r="BS113" s="707"/>
      <c r="BT113" s="707"/>
      <c r="BU113" s="707"/>
      <c r="BV113" s="707"/>
      <c r="BW113" s="707"/>
      <c r="BX113" s="707"/>
      <c r="BY113" s="707"/>
      <c r="BZ113" s="707"/>
    </row>
    <row r="114" spans="1:78" ht="15">
      <c r="A114" s="707"/>
      <c r="B114" s="707"/>
      <c r="C114" s="707"/>
      <c r="D114" s="707"/>
      <c r="E114" s="707"/>
      <c r="F114" s="707"/>
      <c r="G114" s="707"/>
      <c r="H114" s="708"/>
      <c r="I114" s="708"/>
      <c r="J114" s="708"/>
      <c r="K114" s="708"/>
      <c r="L114" s="708"/>
      <c r="M114" s="708"/>
      <c r="N114" s="708"/>
      <c r="O114" s="708"/>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707"/>
      <c r="AL114" s="707"/>
      <c r="AM114" s="707"/>
      <c r="AN114" s="707"/>
      <c r="AO114" s="707"/>
      <c r="AP114" s="707"/>
      <c r="AQ114" s="707"/>
      <c r="AR114" s="707"/>
      <c r="AS114" s="707"/>
      <c r="AT114" s="707"/>
      <c r="AU114" s="707"/>
      <c r="AV114" s="707"/>
      <c r="AW114" s="707"/>
      <c r="AX114" s="707"/>
      <c r="AY114" s="707"/>
      <c r="AZ114" s="707"/>
      <c r="BA114" s="707"/>
      <c r="BB114" s="707"/>
      <c r="BC114" s="707"/>
      <c r="BD114" s="707"/>
      <c r="BE114" s="707"/>
      <c r="BF114" s="707"/>
      <c r="BG114" s="707"/>
      <c r="BH114" s="707"/>
      <c r="BI114" s="707"/>
      <c r="BJ114" s="707"/>
      <c r="BK114" s="707"/>
      <c r="BL114" s="707"/>
      <c r="BM114" s="707"/>
      <c r="BN114" s="707"/>
      <c r="BO114" s="707"/>
      <c r="BP114" s="707"/>
      <c r="BQ114" s="707"/>
      <c r="BR114" s="707"/>
      <c r="BS114" s="707"/>
      <c r="BT114" s="707"/>
      <c r="BU114" s="707"/>
      <c r="BV114" s="707"/>
      <c r="BW114" s="707"/>
      <c r="BX114" s="707"/>
      <c r="BY114" s="707"/>
      <c r="BZ114" s="707"/>
    </row>
    <row r="115" spans="1:78" ht="15">
      <c r="A115" s="707"/>
      <c r="B115" s="707"/>
      <c r="C115" s="707"/>
      <c r="D115" s="707"/>
      <c r="E115" s="707"/>
      <c r="F115" s="707"/>
      <c r="G115" s="707"/>
      <c r="H115" s="708"/>
      <c r="I115" s="708"/>
      <c r="J115" s="708"/>
      <c r="K115" s="708"/>
      <c r="L115" s="708"/>
      <c r="M115" s="708"/>
      <c r="N115" s="708"/>
      <c r="O115" s="708"/>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707"/>
      <c r="AL115" s="707"/>
      <c r="AM115" s="707"/>
      <c r="AN115" s="707"/>
      <c r="AO115" s="707"/>
      <c r="AP115" s="707"/>
      <c r="AQ115" s="707"/>
      <c r="AR115" s="707"/>
      <c r="AS115" s="707"/>
      <c r="AT115" s="707"/>
      <c r="AU115" s="707"/>
      <c r="AV115" s="707"/>
      <c r="AW115" s="707"/>
      <c r="AX115" s="707"/>
      <c r="AY115" s="707"/>
      <c r="AZ115" s="707"/>
      <c r="BA115" s="707"/>
      <c r="BB115" s="707"/>
      <c r="BC115" s="707"/>
      <c r="BD115" s="707"/>
      <c r="BE115" s="707"/>
      <c r="BF115" s="707"/>
      <c r="BG115" s="707"/>
      <c r="BH115" s="707"/>
      <c r="BI115" s="707"/>
      <c r="BJ115" s="707"/>
      <c r="BK115" s="707"/>
      <c r="BL115" s="707"/>
      <c r="BM115" s="707"/>
      <c r="BN115" s="707"/>
      <c r="BO115" s="707"/>
      <c r="BP115" s="707"/>
      <c r="BQ115" s="707"/>
      <c r="BR115" s="707"/>
      <c r="BS115" s="707"/>
      <c r="BT115" s="707"/>
      <c r="BU115" s="707"/>
      <c r="BV115" s="707"/>
      <c r="BW115" s="707"/>
      <c r="BX115" s="707"/>
      <c r="BY115" s="707"/>
      <c r="BZ115" s="707"/>
    </row>
    <row r="116" spans="1:78" ht="15">
      <c r="A116" s="707"/>
      <c r="B116" s="707"/>
      <c r="C116" s="707"/>
      <c r="D116" s="707"/>
      <c r="E116" s="707"/>
      <c r="F116" s="707"/>
      <c r="G116" s="707"/>
      <c r="H116" s="708"/>
      <c r="I116" s="708"/>
      <c r="J116" s="708"/>
      <c r="K116" s="708"/>
      <c r="L116" s="708"/>
      <c r="M116" s="708"/>
      <c r="N116" s="708"/>
      <c r="O116" s="708"/>
      <c r="P116" s="707"/>
      <c r="Q116" s="707"/>
      <c r="R116" s="707"/>
      <c r="S116" s="707"/>
      <c r="T116" s="707"/>
      <c r="U116" s="707"/>
      <c r="V116" s="707"/>
      <c r="W116" s="707"/>
      <c r="X116" s="707"/>
      <c r="Y116" s="707"/>
      <c r="Z116" s="707"/>
      <c r="AA116" s="707"/>
      <c r="AB116" s="707"/>
      <c r="AC116" s="707"/>
      <c r="AD116" s="707"/>
      <c r="AE116" s="707"/>
      <c r="AF116" s="707"/>
      <c r="AG116" s="707"/>
      <c r="AH116" s="707"/>
      <c r="AI116" s="707"/>
      <c r="AJ116" s="707"/>
      <c r="AK116" s="707"/>
      <c r="AL116" s="707"/>
      <c r="AM116" s="707"/>
      <c r="AN116" s="707"/>
      <c r="AO116" s="707"/>
      <c r="AP116" s="707"/>
      <c r="AQ116" s="707"/>
      <c r="AR116" s="707"/>
      <c r="AS116" s="707"/>
      <c r="AT116" s="707"/>
      <c r="AU116" s="707"/>
      <c r="AV116" s="707"/>
      <c r="AW116" s="707"/>
      <c r="AX116" s="707"/>
      <c r="AY116" s="707"/>
      <c r="AZ116" s="707"/>
      <c r="BA116" s="707"/>
      <c r="BB116" s="707"/>
      <c r="BC116" s="707"/>
      <c r="BD116" s="707"/>
      <c r="BE116" s="707"/>
      <c r="BF116" s="707"/>
      <c r="BG116" s="707"/>
      <c r="BH116" s="707"/>
      <c r="BI116" s="707"/>
      <c r="BJ116" s="707"/>
      <c r="BK116" s="707"/>
      <c r="BL116" s="707"/>
      <c r="BM116" s="707"/>
      <c r="BN116" s="707"/>
      <c r="BO116" s="707"/>
      <c r="BP116" s="707"/>
      <c r="BQ116" s="707"/>
      <c r="BR116" s="707"/>
      <c r="BS116" s="707"/>
      <c r="BT116" s="707"/>
      <c r="BU116" s="707"/>
      <c r="BV116" s="707"/>
      <c r="BW116" s="707"/>
      <c r="BX116" s="707"/>
      <c r="BY116" s="707"/>
      <c r="BZ116" s="707"/>
    </row>
    <row r="117" spans="1:78" ht="15">
      <c r="A117" s="707"/>
      <c r="B117" s="707"/>
      <c r="C117" s="707"/>
      <c r="D117" s="707"/>
      <c r="E117" s="707"/>
      <c r="F117" s="707"/>
      <c r="G117" s="707"/>
      <c r="H117" s="708"/>
      <c r="I117" s="708"/>
      <c r="J117" s="708"/>
      <c r="K117" s="708"/>
      <c r="L117" s="708"/>
      <c r="M117" s="708"/>
      <c r="N117" s="708"/>
      <c r="O117" s="708"/>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707"/>
      <c r="AL117" s="707"/>
      <c r="AM117" s="707"/>
      <c r="AN117" s="707"/>
      <c r="AO117" s="707"/>
      <c r="AP117" s="707"/>
      <c r="AQ117" s="707"/>
      <c r="AR117" s="707"/>
      <c r="AS117" s="707"/>
      <c r="AT117" s="707"/>
      <c r="AU117" s="707"/>
      <c r="AV117" s="707"/>
      <c r="AW117" s="707"/>
      <c r="AX117" s="707"/>
      <c r="AY117" s="707"/>
      <c r="AZ117" s="707"/>
      <c r="BA117" s="707"/>
      <c r="BB117" s="707"/>
      <c r="BC117" s="707"/>
      <c r="BD117" s="707"/>
      <c r="BE117" s="707"/>
      <c r="BF117" s="707"/>
      <c r="BG117" s="707"/>
      <c r="BH117" s="707"/>
      <c r="BI117" s="707"/>
      <c r="BJ117" s="707"/>
      <c r="BK117" s="707"/>
      <c r="BL117" s="707"/>
      <c r="BM117" s="707"/>
      <c r="BN117" s="707"/>
      <c r="BO117" s="707"/>
      <c r="BP117" s="707"/>
      <c r="BQ117" s="707"/>
      <c r="BR117" s="707"/>
      <c r="BS117" s="707"/>
      <c r="BT117" s="707"/>
      <c r="BU117" s="707"/>
      <c r="BV117" s="707"/>
      <c r="BW117" s="707"/>
      <c r="BX117" s="707"/>
      <c r="BY117" s="707"/>
      <c r="BZ117" s="707"/>
    </row>
    <row r="118" spans="1:78" ht="15">
      <c r="A118" s="707"/>
      <c r="B118" s="707"/>
      <c r="C118" s="707"/>
      <c r="D118" s="707"/>
      <c r="E118" s="707"/>
      <c r="F118" s="707"/>
      <c r="G118" s="707"/>
      <c r="H118" s="708"/>
      <c r="I118" s="708"/>
      <c r="J118" s="708"/>
      <c r="K118" s="708"/>
      <c r="L118" s="708"/>
      <c r="M118" s="708"/>
      <c r="N118" s="708"/>
      <c r="O118" s="708"/>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707"/>
      <c r="AL118" s="707"/>
      <c r="AM118" s="707"/>
      <c r="AN118" s="707"/>
      <c r="AO118" s="707"/>
      <c r="AP118" s="707"/>
      <c r="AQ118" s="707"/>
      <c r="AR118" s="707"/>
      <c r="AS118" s="707"/>
      <c r="AT118" s="707"/>
      <c r="AU118" s="707"/>
      <c r="AV118" s="707"/>
      <c r="AW118" s="707"/>
      <c r="AX118" s="707"/>
      <c r="AY118" s="707"/>
      <c r="AZ118" s="707"/>
      <c r="BA118" s="707"/>
      <c r="BB118" s="707"/>
      <c r="BC118" s="707"/>
      <c r="BD118" s="707"/>
      <c r="BE118" s="707"/>
      <c r="BF118" s="707"/>
      <c r="BG118" s="707"/>
      <c r="BH118" s="707"/>
      <c r="BI118" s="707"/>
      <c r="BJ118" s="707"/>
      <c r="BK118" s="707"/>
      <c r="BL118" s="707"/>
      <c r="BM118" s="707"/>
      <c r="BN118" s="707"/>
      <c r="BO118" s="707"/>
      <c r="BP118" s="707"/>
      <c r="BQ118" s="707"/>
      <c r="BR118" s="707"/>
      <c r="BS118" s="707"/>
      <c r="BT118" s="707"/>
      <c r="BU118" s="707"/>
      <c r="BV118" s="707"/>
      <c r="BW118" s="707"/>
      <c r="BX118" s="707"/>
      <c r="BY118" s="707"/>
      <c r="BZ118" s="707"/>
    </row>
    <row r="119" spans="1:78" ht="15">
      <c r="A119" s="707"/>
      <c r="B119" s="707"/>
      <c r="C119" s="707"/>
      <c r="D119" s="707"/>
      <c r="E119" s="707"/>
      <c r="F119" s="707"/>
      <c r="G119" s="707"/>
      <c r="H119" s="708"/>
      <c r="I119" s="708"/>
      <c r="J119" s="708"/>
      <c r="K119" s="708"/>
      <c r="L119" s="708"/>
      <c r="M119" s="708"/>
      <c r="N119" s="708"/>
      <c r="O119" s="708"/>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c r="BA119" s="707"/>
      <c r="BB119" s="707"/>
      <c r="BC119" s="707"/>
      <c r="BD119" s="707"/>
      <c r="BE119" s="707"/>
      <c r="BF119" s="707"/>
      <c r="BG119" s="707"/>
      <c r="BH119" s="707"/>
      <c r="BI119" s="707"/>
      <c r="BJ119" s="707"/>
      <c r="BK119" s="707"/>
      <c r="BL119" s="707"/>
      <c r="BM119" s="707"/>
      <c r="BN119" s="707"/>
      <c r="BO119" s="707"/>
      <c r="BP119" s="707"/>
      <c r="BQ119" s="707"/>
      <c r="BR119" s="707"/>
      <c r="BS119" s="707"/>
      <c r="BT119" s="707"/>
      <c r="BU119" s="707"/>
      <c r="BV119" s="707"/>
      <c r="BW119" s="707"/>
      <c r="BX119" s="707"/>
      <c r="BY119" s="707"/>
      <c r="BZ119" s="707"/>
    </row>
    <row r="120" spans="1:78" ht="15">
      <c r="A120" s="707"/>
      <c r="B120" s="707"/>
      <c r="C120" s="707"/>
      <c r="D120" s="707"/>
      <c r="E120" s="707"/>
      <c r="F120" s="707"/>
      <c r="G120" s="707"/>
      <c r="H120" s="708"/>
      <c r="I120" s="708"/>
      <c r="J120" s="708"/>
      <c r="K120" s="708"/>
      <c r="L120" s="708"/>
      <c r="M120" s="708"/>
      <c r="N120" s="708"/>
      <c r="O120" s="708"/>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707"/>
      <c r="AL120" s="707"/>
      <c r="AM120" s="707"/>
      <c r="AN120" s="707"/>
      <c r="AO120" s="707"/>
      <c r="AP120" s="707"/>
      <c r="AQ120" s="707"/>
      <c r="AR120" s="707"/>
      <c r="AS120" s="707"/>
      <c r="AT120" s="707"/>
      <c r="AU120" s="707"/>
      <c r="AV120" s="707"/>
      <c r="AW120" s="707"/>
      <c r="AX120" s="707"/>
      <c r="AY120" s="707"/>
      <c r="AZ120" s="707"/>
      <c r="BA120" s="707"/>
      <c r="BB120" s="707"/>
      <c r="BC120" s="707"/>
      <c r="BD120" s="707"/>
      <c r="BE120" s="707"/>
      <c r="BF120" s="707"/>
      <c r="BG120" s="707"/>
      <c r="BH120" s="707"/>
      <c r="BI120" s="707"/>
      <c r="BJ120" s="707"/>
      <c r="BK120" s="707"/>
      <c r="BL120" s="707"/>
      <c r="BM120" s="707"/>
      <c r="BN120" s="707"/>
      <c r="BO120" s="707"/>
      <c r="BP120" s="707"/>
      <c r="BQ120" s="707"/>
      <c r="BR120" s="707"/>
      <c r="BS120" s="707"/>
      <c r="BT120" s="707"/>
      <c r="BU120" s="707"/>
      <c r="BV120" s="707"/>
      <c r="BW120" s="707"/>
      <c r="BX120" s="707"/>
      <c r="BY120" s="707"/>
      <c r="BZ120" s="707"/>
    </row>
    <row r="121" spans="1:78" ht="15">
      <c r="A121" s="707"/>
      <c r="B121" s="707"/>
      <c r="C121" s="707"/>
      <c r="D121" s="707"/>
      <c r="E121" s="707"/>
      <c r="F121" s="707"/>
      <c r="G121" s="707"/>
      <c r="H121" s="708"/>
      <c r="I121" s="708"/>
      <c r="J121" s="708"/>
      <c r="K121" s="708"/>
      <c r="L121" s="708"/>
      <c r="M121" s="708"/>
      <c r="N121" s="708"/>
      <c r="O121" s="708"/>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7"/>
      <c r="AY121" s="707"/>
      <c r="AZ121" s="707"/>
      <c r="BA121" s="707"/>
      <c r="BB121" s="707"/>
      <c r="BC121" s="707"/>
      <c r="BD121" s="707"/>
      <c r="BE121" s="707"/>
      <c r="BF121" s="707"/>
      <c r="BG121" s="707"/>
      <c r="BH121" s="707"/>
      <c r="BI121" s="707"/>
      <c r="BJ121" s="707"/>
      <c r="BK121" s="707"/>
      <c r="BL121" s="707"/>
      <c r="BM121" s="707"/>
      <c r="BN121" s="707"/>
      <c r="BO121" s="707"/>
      <c r="BP121" s="707"/>
      <c r="BQ121" s="707"/>
      <c r="BR121" s="707"/>
      <c r="BS121" s="707"/>
      <c r="BT121" s="707"/>
      <c r="BU121" s="707"/>
      <c r="BV121" s="707"/>
      <c r="BW121" s="707"/>
      <c r="BX121" s="707"/>
      <c r="BY121" s="707"/>
      <c r="BZ121" s="707"/>
    </row>
    <row r="122" spans="1:78" ht="15">
      <c r="A122" s="707"/>
      <c r="B122" s="707"/>
      <c r="C122" s="707"/>
      <c r="D122" s="707"/>
      <c r="E122" s="707"/>
      <c r="F122" s="707"/>
      <c r="G122" s="707"/>
      <c r="H122" s="708"/>
      <c r="I122" s="708"/>
      <c r="J122" s="708"/>
      <c r="K122" s="708"/>
      <c r="L122" s="708"/>
      <c r="M122" s="708"/>
      <c r="N122" s="708"/>
      <c r="O122" s="708"/>
      <c r="P122" s="707"/>
      <c r="Q122" s="707"/>
      <c r="R122" s="707"/>
      <c r="S122" s="707"/>
      <c r="T122" s="707"/>
      <c r="U122" s="707"/>
      <c r="V122" s="707"/>
      <c r="W122" s="707"/>
      <c r="X122" s="707"/>
      <c r="Y122" s="707"/>
      <c r="Z122" s="707"/>
      <c r="AA122" s="707"/>
      <c r="AB122" s="707"/>
      <c r="AC122" s="707"/>
      <c r="AD122" s="707"/>
      <c r="AE122" s="707"/>
      <c r="AF122" s="707"/>
      <c r="AG122" s="707"/>
      <c r="AH122" s="707"/>
      <c r="AI122" s="707"/>
      <c r="AJ122" s="707"/>
      <c r="AK122" s="707"/>
      <c r="AL122" s="707"/>
      <c r="AM122" s="707"/>
      <c r="AN122" s="707"/>
      <c r="AO122" s="707"/>
      <c r="AP122" s="707"/>
      <c r="AQ122" s="707"/>
      <c r="AR122" s="707"/>
      <c r="AS122" s="707"/>
      <c r="AT122" s="707"/>
      <c r="AU122" s="707"/>
      <c r="AV122" s="707"/>
      <c r="AW122" s="707"/>
      <c r="AX122" s="707"/>
      <c r="AY122" s="707"/>
      <c r="AZ122" s="707"/>
      <c r="BA122" s="707"/>
      <c r="BB122" s="707"/>
      <c r="BC122" s="707"/>
      <c r="BD122" s="707"/>
      <c r="BE122" s="707"/>
      <c r="BF122" s="707"/>
      <c r="BG122" s="707"/>
      <c r="BH122" s="707"/>
      <c r="BI122" s="707"/>
      <c r="BJ122" s="707"/>
      <c r="BK122" s="707"/>
      <c r="BL122" s="707"/>
      <c r="BM122" s="707"/>
      <c r="BN122" s="707"/>
      <c r="BO122" s="707"/>
      <c r="BP122" s="707"/>
      <c r="BQ122" s="707"/>
      <c r="BR122" s="707"/>
      <c r="BS122" s="707"/>
      <c r="BT122" s="707"/>
      <c r="BU122" s="707"/>
      <c r="BV122" s="707"/>
      <c r="BW122" s="707"/>
      <c r="BX122" s="707"/>
      <c r="BY122" s="707"/>
      <c r="BZ122" s="707"/>
    </row>
    <row r="123" spans="1:78" ht="15">
      <c r="A123" s="707"/>
      <c r="B123" s="707"/>
      <c r="C123" s="707"/>
      <c r="D123" s="707"/>
      <c r="E123" s="707"/>
      <c r="F123" s="707"/>
      <c r="G123" s="707"/>
      <c r="H123" s="708"/>
      <c r="I123" s="708"/>
      <c r="J123" s="708"/>
      <c r="K123" s="708"/>
      <c r="L123" s="708"/>
      <c r="M123" s="708"/>
      <c r="N123" s="708"/>
      <c r="O123" s="708"/>
      <c r="P123" s="707"/>
      <c r="Q123" s="707"/>
      <c r="R123" s="707"/>
      <c r="S123" s="707"/>
      <c r="T123" s="707"/>
      <c r="U123" s="707"/>
      <c r="V123" s="707"/>
      <c r="W123" s="707"/>
      <c r="X123" s="707"/>
      <c r="Y123" s="707"/>
      <c r="Z123" s="707"/>
      <c r="AA123" s="707"/>
      <c r="AB123" s="707"/>
      <c r="AC123" s="707"/>
      <c r="AD123" s="707"/>
      <c r="AE123" s="707"/>
      <c r="AF123" s="707"/>
      <c r="AG123" s="707"/>
      <c r="AH123" s="707"/>
      <c r="AI123" s="707"/>
      <c r="AJ123" s="707"/>
      <c r="AK123" s="707"/>
      <c r="AL123" s="707"/>
      <c r="AM123" s="707"/>
      <c r="AN123" s="707"/>
      <c r="AO123" s="707"/>
      <c r="AP123" s="707"/>
      <c r="AQ123" s="707"/>
      <c r="AR123" s="707"/>
      <c r="AS123" s="707"/>
      <c r="AT123" s="707"/>
      <c r="AU123" s="707"/>
      <c r="AV123" s="707"/>
      <c r="AW123" s="707"/>
      <c r="AX123" s="707"/>
      <c r="AY123" s="707"/>
      <c r="AZ123" s="707"/>
      <c r="BA123" s="707"/>
      <c r="BB123" s="707"/>
      <c r="BC123" s="707"/>
      <c r="BD123" s="707"/>
      <c r="BE123" s="707"/>
      <c r="BF123" s="707"/>
      <c r="BG123" s="707"/>
      <c r="BH123" s="707"/>
      <c r="BI123" s="707"/>
      <c r="BJ123" s="707"/>
      <c r="BK123" s="707"/>
      <c r="BL123" s="707"/>
      <c r="BM123" s="707"/>
      <c r="BN123" s="707"/>
      <c r="BO123" s="707"/>
      <c r="BP123" s="707"/>
      <c r="BQ123" s="707"/>
      <c r="BR123" s="707"/>
      <c r="BS123" s="707"/>
      <c r="BT123" s="707"/>
      <c r="BU123" s="707"/>
      <c r="BV123" s="707"/>
      <c r="BW123" s="707"/>
      <c r="BX123" s="707"/>
      <c r="BY123" s="707"/>
      <c r="BZ123" s="707"/>
    </row>
    <row r="124" spans="1:78" ht="15">
      <c r="A124" s="707"/>
      <c r="B124" s="707"/>
      <c r="C124" s="707"/>
      <c r="D124" s="707"/>
      <c r="E124" s="707"/>
      <c r="F124" s="707"/>
      <c r="G124" s="707"/>
      <c r="H124" s="708"/>
      <c r="I124" s="708"/>
      <c r="J124" s="708"/>
      <c r="K124" s="708"/>
      <c r="L124" s="708"/>
      <c r="M124" s="708"/>
      <c r="N124" s="708"/>
      <c r="O124" s="708"/>
      <c r="P124" s="707"/>
      <c r="Q124" s="707"/>
      <c r="R124" s="707"/>
      <c r="S124" s="707"/>
      <c r="T124" s="707"/>
      <c r="U124" s="707"/>
      <c r="V124" s="707"/>
      <c r="W124" s="707"/>
      <c r="X124" s="707"/>
      <c r="Y124" s="707"/>
      <c r="Z124" s="707"/>
      <c r="AA124" s="707"/>
      <c r="AB124" s="707"/>
      <c r="AC124" s="707"/>
      <c r="AD124" s="707"/>
      <c r="AE124" s="707"/>
      <c r="AF124" s="707"/>
      <c r="AG124" s="707"/>
      <c r="AH124" s="707"/>
      <c r="AI124" s="707"/>
      <c r="AJ124" s="707"/>
      <c r="AK124" s="707"/>
      <c r="AL124" s="707"/>
      <c r="AM124" s="707"/>
      <c r="AN124" s="707"/>
      <c r="AO124" s="707"/>
      <c r="AP124" s="707"/>
      <c r="AQ124" s="707"/>
      <c r="AR124" s="707"/>
      <c r="AS124" s="707"/>
      <c r="AT124" s="707"/>
      <c r="AU124" s="707"/>
      <c r="AV124" s="707"/>
      <c r="AW124" s="707"/>
      <c r="AX124" s="707"/>
      <c r="AY124" s="707"/>
      <c r="AZ124" s="707"/>
      <c r="BA124" s="707"/>
      <c r="BB124" s="707"/>
      <c r="BC124" s="707"/>
      <c r="BD124" s="707"/>
      <c r="BE124" s="707"/>
      <c r="BF124" s="707"/>
      <c r="BG124" s="707"/>
      <c r="BH124" s="707"/>
      <c r="BI124" s="707"/>
      <c r="BJ124" s="707"/>
      <c r="BK124" s="707"/>
      <c r="BL124" s="707"/>
      <c r="BM124" s="707"/>
      <c r="BN124" s="707"/>
      <c r="BO124" s="707"/>
      <c r="BP124" s="707"/>
      <c r="BQ124" s="707"/>
      <c r="BR124" s="707"/>
      <c r="BS124" s="707"/>
      <c r="BT124" s="707"/>
      <c r="BU124" s="707"/>
      <c r="BV124" s="707"/>
      <c r="BW124" s="707"/>
      <c r="BX124" s="707"/>
      <c r="BY124" s="707"/>
      <c r="BZ124" s="707"/>
    </row>
    <row r="125" spans="1:78" ht="15">
      <c r="A125" s="707"/>
      <c r="B125" s="707"/>
      <c r="C125" s="707"/>
      <c r="D125" s="707"/>
      <c r="E125" s="707"/>
      <c r="F125" s="707"/>
      <c r="G125" s="707"/>
      <c r="H125" s="708"/>
      <c r="I125" s="708"/>
      <c r="J125" s="708"/>
      <c r="K125" s="708"/>
      <c r="L125" s="708"/>
      <c r="M125" s="708"/>
      <c r="N125" s="708"/>
      <c r="O125" s="708"/>
      <c r="P125" s="707"/>
      <c r="Q125" s="707"/>
      <c r="R125" s="707"/>
      <c r="S125" s="707"/>
      <c r="T125" s="707"/>
      <c r="U125" s="707"/>
      <c r="V125" s="707"/>
      <c r="W125" s="707"/>
      <c r="X125" s="707"/>
      <c r="Y125" s="707"/>
      <c r="Z125" s="707"/>
      <c r="AA125" s="707"/>
      <c r="AB125" s="707"/>
      <c r="AC125" s="707"/>
      <c r="AD125" s="707"/>
      <c r="AE125" s="707"/>
      <c r="AF125" s="707"/>
      <c r="AG125" s="707"/>
      <c r="AH125" s="707"/>
      <c r="AI125" s="707"/>
      <c r="AJ125" s="707"/>
      <c r="AK125" s="707"/>
      <c r="AL125" s="707"/>
      <c r="AM125" s="707"/>
      <c r="AN125" s="707"/>
      <c r="AO125" s="707"/>
      <c r="AP125" s="707"/>
      <c r="AQ125" s="707"/>
      <c r="AR125" s="707"/>
      <c r="AS125" s="707"/>
      <c r="AT125" s="707"/>
      <c r="AU125" s="707"/>
      <c r="AV125" s="707"/>
      <c r="AW125" s="707"/>
      <c r="AX125" s="707"/>
      <c r="AY125" s="707"/>
      <c r="AZ125" s="707"/>
      <c r="BA125" s="707"/>
      <c r="BB125" s="707"/>
      <c r="BC125" s="707"/>
      <c r="BD125" s="707"/>
      <c r="BE125" s="707"/>
      <c r="BF125" s="707"/>
      <c r="BG125" s="707"/>
      <c r="BH125" s="707"/>
      <c r="BI125" s="707"/>
      <c r="BJ125" s="707"/>
      <c r="BK125" s="707"/>
      <c r="BL125" s="707"/>
      <c r="BM125" s="707"/>
      <c r="BN125" s="707"/>
      <c r="BO125" s="707"/>
      <c r="BP125" s="707"/>
      <c r="BQ125" s="707"/>
      <c r="BR125" s="707"/>
      <c r="BS125" s="707"/>
      <c r="BT125" s="707"/>
      <c r="BU125" s="707"/>
      <c r="BV125" s="707"/>
      <c r="BW125" s="707"/>
      <c r="BX125" s="707"/>
      <c r="BY125" s="707"/>
      <c r="BZ125" s="707"/>
    </row>
    <row r="126" spans="1:78" ht="15">
      <c r="A126" s="707"/>
      <c r="B126" s="707"/>
      <c r="C126" s="707"/>
      <c r="D126" s="707"/>
      <c r="E126" s="707"/>
      <c r="F126" s="707"/>
      <c r="G126" s="707"/>
      <c r="H126" s="708"/>
      <c r="I126" s="708"/>
      <c r="J126" s="708"/>
      <c r="K126" s="708"/>
      <c r="L126" s="708"/>
      <c r="M126" s="708"/>
      <c r="N126" s="708"/>
      <c r="O126" s="708"/>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c r="BA126" s="707"/>
      <c r="BB126" s="707"/>
      <c r="BC126" s="707"/>
      <c r="BD126" s="707"/>
      <c r="BE126" s="707"/>
      <c r="BF126" s="707"/>
      <c r="BG126" s="707"/>
      <c r="BH126" s="707"/>
      <c r="BI126" s="707"/>
      <c r="BJ126" s="707"/>
      <c r="BK126" s="707"/>
      <c r="BL126" s="707"/>
      <c r="BM126" s="707"/>
      <c r="BN126" s="707"/>
      <c r="BO126" s="707"/>
      <c r="BP126" s="707"/>
      <c r="BQ126" s="707"/>
      <c r="BR126" s="707"/>
      <c r="BS126" s="707"/>
      <c r="BT126" s="707"/>
      <c r="BU126" s="707"/>
      <c r="BV126" s="707"/>
      <c r="BW126" s="707"/>
      <c r="BX126" s="707"/>
      <c r="BY126" s="707"/>
      <c r="BZ126" s="707"/>
    </row>
    <row r="127" spans="1:78" ht="15">
      <c r="A127" s="707"/>
      <c r="B127" s="707"/>
      <c r="C127" s="707"/>
      <c r="D127" s="707"/>
      <c r="E127" s="707"/>
      <c r="F127" s="707"/>
      <c r="G127" s="707"/>
      <c r="H127" s="708"/>
      <c r="I127" s="708"/>
      <c r="J127" s="708"/>
      <c r="K127" s="708"/>
      <c r="L127" s="708"/>
      <c r="M127" s="708"/>
      <c r="N127" s="708"/>
      <c r="O127" s="708"/>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7"/>
      <c r="AL127" s="707"/>
      <c r="AM127" s="707"/>
      <c r="AN127" s="707"/>
      <c r="AO127" s="707"/>
      <c r="AP127" s="707"/>
      <c r="AQ127" s="707"/>
      <c r="AR127" s="707"/>
      <c r="AS127" s="707"/>
      <c r="AT127" s="707"/>
      <c r="AU127" s="707"/>
      <c r="AV127" s="707"/>
      <c r="AW127" s="707"/>
      <c r="AX127" s="707"/>
      <c r="AY127" s="707"/>
      <c r="AZ127" s="707"/>
      <c r="BA127" s="707"/>
      <c r="BB127" s="707"/>
      <c r="BC127" s="707"/>
      <c r="BD127" s="707"/>
      <c r="BE127" s="707"/>
      <c r="BF127" s="707"/>
      <c r="BG127" s="707"/>
      <c r="BH127" s="707"/>
      <c r="BI127" s="707"/>
      <c r="BJ127" s="707"/>
      <c r="BK127" s="707"/>
      <c r="BL127" s="707"/>
      <c r="BM127" s="707"/>
      <c r="BN127" s="707"/>
      <c r="BO127" s="707"/>
      <c r="BP127" s="707"/>
      <c r="BQ127" s="707"/>
      <c r="BR127" s="707"/>
      <c r="BS127" s="707"/>
      <c r="BT127" s="707"/>
      <c r="BU127" s="707"/>
      <c r="BV127" s="707"/>
      <c r="BW127" s="707"/>
      <c r="BX127" s="707"/>
      <c r="BY127" s="707"/>
      <c r="BZ127" s="707"/>
    </row>
    <row r="128" spans="1:78" ht="15">
      <c r="A128" s="707"/>
      <c r="B128" s="707"/>
      <c r="C128" s="707"/>
      <c r="D128" s="707"/>
      <c r="E128" s="707"/>
      <c r="F128" s="707"/>
      <c r="G128" s="707"/>
      <c r="H128" s="708"/>
      <c r="I128" s="708"/>
      <c r="J128" s="708"/>
      <c r="K128" s="708"/>
      <c r="L128" s="708"/>
      <c r="M128" s="708"/>
      <c r="N128" s="708"/>
      <c r="O128" s="708"/>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707"/>
      <c r="AX128" s="707"/>
      <c r="AY128" s="707"/>
      <c r="AZ128" s="707"/>
      <c r="BA128" s="707"/>
      <c r="BB128" s="707"/>
      <c r="BC128" s="707"/>
      <c r="BD128" s="707"/>
      <c r="BE128" s="707"/>
      <c r="BF128" s="707"/>
      <c r="BG128" s="707"/>
      <c r="BH128" s="707"/>
      <c r="BI128" s="707"/>
      <c r="BJ128" s="707"/>
      <c r="BK128" s="707"/>
      <c r="BL128" s="707"/>
      <c r="BM128" s="707"/>
      <c r="BN128" s="707"/>
      <c r="BO128" s="707"/>
      <c r="BP128" s="707"/>
      <c r="BQ128" s="707"/>
      <c r="BR128" s="707"/>
      <c r="BS128" s="707"/>
      <c r="BT128" s="707"/>
      <c r="BU128" s="707"/>
      <c r="BV128" s="707"/>
      <c r="BW128" s="707"/>
      <c r="BX128" s="707"/>
      <c r="BY128" s="707"/>
      <c r="BZ128" s="707"/>
    </row>
    <row r="129" spans="1:78" ht="15">
      <c r="A129" s="707"/>
      <c r="B129" s="707"/>
      <c r="C129" s="707"/>
      <c r="D129" s="707"/>
      <c r="E129" s="707"/>
      <c r="F129" s="707"/>
      <c r="G129" s="707"/>
      <c r="H129" s="708"/>
      <c r="I129" s="708"/>
      <c r="J129" s="708"/>
      <c r="K129" s="708"/>
      <c r="L129" s="708"/>
      <c r="M129" s="708"/>
      <c r="N129" s="708"/>
      <c r="O129" s="708"/>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707"/>
      <c r="AL129" s="707"/>
      <c r="AM129" s="707"/>
      <c r="AN129" s="707"/>
      <c r="AO129" s="707"/>
      <c r="AP129" s="707"/>
      <c r="AQ129" s="707"/>
      <c r="AR129" s="707"/>
      <c r="AS129" s="707"/>
      <c r="AT129" s="707"/>
      <c r="AU129" s="707"/>
      <c r="AV129" s="707"/>
      <c r="AW129" s="707"/>
      <c r="AX129" s="707"/>
      <c r="AY129" s="707"/>
      <c r="AZ129" s="707"/>
      <c r="BA129" s="707"/>
      <c r="BB129" s="707"/>
      <c r="BC129" s="707"/>
      <c r="BD129" s="707"/>
      <c r="BE129" s="707"/>
      <c r="BF129" s="707"/>
      <c r="BG129" s="707"/>
      <c r="BH129" s="707"/>
      <c r="BI129" s="707"/>
      <c r="BJ129" s="707"/>
      <c r="BK129" s="707"/>
      <c r="BL129" s="707"/>
      <c r="BM129" s="707"/>
      <c r="BN129" s="707"/>
      <c r="BO129" s="707"/>
      <c r="BP129" s="707"/>
      <c r="BQ129" s="707"/>
      <c r="BR129" s="707"/>
      <c r="BS129" s="707"/>
      <c r="BT129" s="707"/>
      <c r="BU129" s="707"/>
      <c r="BV129" s="707"/>
      <c r="BW129" s="707"/>
      <c r="BX129" s="707"/>
      <c r="BY129" s="707"/>
      <c r="BZ129" s="707"/>
    </row>
    <row r="130" spans="1:78" ht="15">
      <c r="A130" s="707"/>
      <c r="B130" s="707"/>
      <c r="C130" s="707"/>
      <c r="D130" s="707"/>
      <c r="E130" s="707"/>
      <c r="F130" s="707"/>
      <c r="G130" s="707"/>
      <c r="H130" s="708"/>
      <c r="I130" s="708"/>
      <c r="J130" s="708"/>
      <c r="K130" s="708"/>
      <c r="L130" s="708"/>
      <c r="M130" s="708"/>
      <c r="N130" s="708"/>
      <c r="O130" s="708"/>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7"/>
      <c r="AY130" s="707"/>
      <c r="AZ130" s="707"/>
      <c r="BA130" s="707"/>
      <c r="BB130" s="707"/>
      <c r="BC130" s="707"/>
      <c r="BD130" s="707"/>
      <c r="BE130" s="707"/>
      <c r="BF130" s="707"/>
      <c r="BG130" s="707"/>
      <c r="BH130" s="707"/>
      <c r="BI130" s="707"/>
      <c r="BJ130" s="707"/>
      <c r="BK130" s="707"/>
      <c r="BL130" s="707"/>
      <c r="BM130" s="707"/>
      <c r="BN130" s="707"/>
      <c r="BO130" s="707"/>
      <c r="BP130" s="707"/>
      <c r="BQ130" s="707"/>
      <c r="BR130" s="707"/>
      <c r="BS130" s="707"/>
      <c r="BT130" s="707"/>
      <c r="BU130" s="707"/>
      <c r="BV130" s="707"/>
      <c r="BW130" s="707"/>
      <c r="BX130" s="707"/>
      <c r="BY130" s="707"/>
      <c r="BZ130" s="707"/>
    </row>
    <row r="131" spans="1:78" ht="15">
      <c r="A131" s="707"/>
      <c r="B131" s="707"/>
      <c r="C131" s="707"/>
      <c r="D131" s="707"/>
      <c r="E131" s="707"/>
      <c r="F131" s="707"/>
      <c r="G131" s="707"/>
      <c r="H131" s="708"/>
      <c r="I131" s="708"/>
      <c r="J131" s="708"/>
      <c r="K131" s="708"/>
      <c r="L131" s="708"/>
      <c r="M131" s="708"/>
      <c r="N131" s="708"/>
      <c r="O131" s="708"/>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7"/>
      <c r="AL131" s="707"/>
      <c r="AM131" s="707"/>
      <c r="AN131" s="707"/>
      <c r="AO131" s="707"/>
      <c r="AP131" s="707"/>
      <c r="AQ131" s="707"/>
      <c r="AR131" s="707"/>
      <c r="AS131" s="707"/>
      <c r="AT131" s="707"/>
      <c r="AU131" s="707"/>
      <c r="AV131" s="707"/>
      <c r="AW131" s="707"/>
      <c r="AX131" s="707"/>
      <c r="AY131" s="707"/>
      <c r="AZ131" s="707"/>
      <c r="BA131" s="707"/>
      <c r="BB131" s="707"/>
      <c r="BC131" s="707"/>
      <c r="BD131" s="707"/>
      <c r="BE131" s="707"/>
      <c r="BF131" s="707"/>
      <c r="BG131" s="707"/>
      <c r="BH131" s="707"/>
      <c r="BI131" s="707"/>
      <c r="BJ131" s="707"/>
      <c r="BK131" s="707"/>
      <c r="BL131" s="707"/>
      <c r="BM131" s="707"/>
      <c r="BN131" s="707"/>
      <c r="BO131" s="707"/>
      <c r="BP131" s="707"/>
      <c r="BQ131" s="707"/>
      <c r="BR131" s="707"/>
      <c r="BS131" s="707"/>
      <c r="BT131" s="707"/>
      <c r="BU131" s="707"/>
      <c r="BV131" s="707"/>
      <c r="BW131" s="707"/>
      <c r="BX131" s="707"/>
      <c r="BY131" s="707"/>
      <c r="BZ131" s="707"/>
    </row>
  </sheetData>
  <sheetProtection password="DE92" sheet="1" objects="1" scenarios="1" selectLockedCells="1" autoFilter="0"/>
  <autoFilter ref="AA5:AA27"/>
  <mergeCells count="3">
    <mergeCell ref="B2:Z3"/>
    <mergeCell ref="D31:F31"/>
    <mergeCell ref="B34:Z34"/>
  </mergeCells>
  <printOptions/>
  <pageMargins left="0.26" right="0.22" top="0.37" bottom="0.309722222222222" header="0.44" footer="0.35"/>
  <pageSetup horizontalDpi="300" verticalDpi="300" orientation="landscape" paperSize="9" scale="82" r:id="rId4"/>
  <ignoredErrors>
    <ignoredError sqref="D17:E24 L5:M18 N5:N16 D5:F16 C25:F25 T11 Q5:S16 O5:O22 L26 L20:M25 L19 R26 O25 P5:P19 P21:Q22 P25:P27 Q4 H5:H26 F19:F23 I21:I23 O23:Q23 C20:C23 W5:Z27 I5:K16 G27:I27 T26:U26 T12:U12 T5:U8 R21:U23 Q17:U20 Q24:U25 V13:V16 D27:F27 G10:G16 J27:O27 Q27:V27 T9:U10 T13:U16 AA6:AA13 G4 AA14:AA26" unlockedFormula="1"/>
    <ignoredError sqref="P24 P20" formula="1"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theme="8" tint="-0.24997000396251678"/>
  </sheetPr>
  <dimension ref="A1:BZ300"/>
  <sheetViews>
    <sheetView showGridLines="0" showRowColHeaders="0" zoomScaleSheetLayoutView="100" zoomScalePageLayoutView="0" workbookViewId="0" topLeftCell="A1">
      <selection activeCell="O18" sqref="O18"/>
    </sheetView>
  </sheetViews>
  <sheetFormatPr defaultColWidth="9.421875" defaultRowHeight="12.75"/>
  <cols>
    <col min="1" max="1" width="4.57421875" style="4" customWidth="1"/>
    <col min="2" max="2" width="4.421875" style="4" customWidth="1"/>
    <col min="3" max="3" width="5.7109375" style="4" customWidth="1"/>
    <col min="4" max="4" width="6.7109375" style="4" customWidth="1"/>
    <col min="5" max="5" width="8.28125" style="4" customWidth="1"/>
    <col min="6" max="6" width="9.57421875" style="4" customWidth="1"/>
    <col min="7" max="7" width="9.421875" style="4" customWidth="1"/>
    <col min="8" max="8" width="15.140625" style="4" customWidth="1"/>
    <col min="9" max="9" width="12.00390625" style="4" customWidth="1"/>
    <col min="10" max="10" width="4.8515625" style="4" customWidth="1"/>
    <col min="11" max="11" width="13.8515625" style="4" customWidth="1"/>
    <col min="12" max="12" width="15.57421875" style="4" customWidth="1"/>
    <col min="13" max="16" width="9.421875" style="4" customWidth="1"/>
    <col min="17" max="17" width="5.28125" style="4" customWidth="1"/>
    <col min="18" max="16384" width="9.421875" style="4" customWidth="1"/>
  </cols>
  <sheetData>
    <row r="1" spans="1:78" ht="15">
      <c r="A1" s="707"/>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c r="BA1" s="707"/>
      <c r="BB1" s="707"/>
      <c r="BC1" s="707"/>
      <c r="BD1" s="707"/>
      <c r="BE1" s="707"/>
      <c r="BF1" s="707"/>
      <c r="BG1" s="707"/>
      <c r="BH1" s="707"/>
      <c r="BI1" s="707"/>
      <c r="BJ1" s="707"/>
      <c r="BK1" s="707"/>
      <c r="BL1" s="707"/>
      <c r="BM1" s="707"/>
      <c r="BN1" s="707"/>
      <c r="BO1" s="707"/>
      <c r="BP1" s="707"/>
      <c r="BQ1" s="707"/>
      <c r="BR1" s="707"/>
      <c r="BS1" s="707"/>
      <c r="BT1" s="707"/>
      <c r="BU1" s="707"/>
      <c r="BV1" s="707"/>
      <c r="BW1" s="707"/>
      <c r="BX1" s="707"/>
      <c r="BY1" s="707"/>
      <c r="BZ1" s="707"/>
    </row>
    <row r="2" spans="1:76" ht="18" customHeight="1">
      <c r="A2" s="707"/>
      <c r="B2" s="1163" t="s">
        <v>772</v>
      </c>
      <c r="C2" s="1164"/>
      <c r="D2" s="1164"/>
      <c r="E2" s="1164"/>
      <c r="F2" s="428"/>
      <c r="G2" s="1192" t="s">
        <v>322</v>
      </c>
      <c r="H2" s="1192"/>
      <c r="I2" s="428"/>
      <c r="J2" s="428"/>
      <c r="K2" s="1161" t="s">
        <v>773</v>
      </c>
      <c r="L2" s="1162"/>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707"/>
      <c r="BK2" s="707"/>
      <c r="BL2" s="707"/>
      <c r="BM2" s="707"/>
      <c r="BN2" s="707"/>
      <c r="BO2" s="707"/>
      <c r="BP2" s="707"/>
      <c r="BQ2" s="707"/>
      <c r="BR2" s="707"/>
      <c r="BS2" s="707"/>
      <c r="BT2" s="707"/>
      <c r="BU2" s="707"/>
      <c r="BV2" s="707"/>
      <c r="BW2" s="707"/>
      <c r="BX2" s="707"/>
    </row>
    <row r="3" spans="1:76" ht="16.5" customHeight="1">
      <c r="A3" s="707"/>
      <c r="B3" s="1165" t="s">
        <v>774</v>
      </c>
      <c r="C3" s="1166"/>
      <c r="D3" s="1166"/>
      <c r="E3" s="1166"/>
      <c r="F3" s="1166"/>
      <c r="G3" s="1166"/>
      <c r="H3" s="1166"/>
      <c r="I3" s="1166"/>
      <c r="J3" s="1166"/>
      <c r="K3" s="1166"/>
      <c r="L3" s="1167"/>
      <c r="M3" s="707"/>
      <c r="N3" s="707"/>
      <c r="O3" s="72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707"/>
      <c r="BX3" s="707"/>
    </row>
    <row r="4" spans="1:76" ht="15" customHeight="1">
      <c r="A4" s="707"/>
      <c r="B4" s="1173" t="s">
        <v>323</v>
      </c>
      <c r="C4" s="1174"/>
      <c r="D4" s="1177" t="str">
        <f>CONCATENATE(DATA!AY169,"  ",DATA!F8)</f>
        <v>Sri.  K.Chandra Sekhar Rao</v>
      </c>
      <c r="E4" s="1177"/>
      <c r="F4" s="1177"/>
      <c r="G4" s="1177"/>
      <c r="H4" s="469" t="s">
        <v>605</v>
      </c>
      <c r="I4" s="1169" t="str">
        <f>CONCATENATE(DATA!F19," , ",DATA!F20,"   (","Mandal",")"," ")</f>
        <v>ZPHS, Jonnagiri , Tuggali   (Mandal) </v>
      </c>
      <c r="J4" s="1169"/>
      <c r="K4" s="1169"/>
      <c r="L4" s="1170"/>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7"/>
      <c r="AX4" s="707"/>
      <c r="AY4" s="707"/>
      <c r="AZ4" s="707"/>
      <c r="BA4" s="707"/>
      <c r="BB4" s="707"/>
      <c r="BC4" s="707"/>
      <c r="BD4" s="707"/>
      <c r="BE4" s="707"/>
      <c r="BF4" s="707"/>
      <c r="BG4" s="707"/>
      <c r="BH4" s="707"/>
      <c r="BI4" s="707"/>
      <c r="BJ4" s="707"/>
      <c r="BK4" s="707"/>
      <c r="BL4" s="707"/>
      <c r="BM4" s="707"/>
      <c r="BN4" s="707"/>
      <c r="BO4" s="707"/>
      <c r="BP4" s="707"/>
      <c r="BQ4" s="707"/>
      <c r="BR4" s="707"/>
      <c r="BS4" s="707"/>
      <c r="BT4" s="707"/>
      <c r="BU4" s="707"/>
      <c r="BV4" s="707"/>
      <c r="BW4" s="707"/>
      <c r="BX4" s="707"/>
    </row>
    <row r="5" spans="1:76" ht="15" customHeight="1">
      <c r="A5" s="707"/>
      <c r="B5" s="1193" t="s">
        <v>4</v>
      </c>
      <c r="C5" s="1194"/>
      <c r="D5" s="1178" t="str">
        <f>DATA!BO166</f>
        <v>SA(PS)</v>
      </c>
      <c r="E5" s="1178"/>
      <c r="F5" s="1178"/>
      <c r="G5" s="1178"/>
      <c r="H5" s="470" t="s">
        <v>616</v>
      </c>
      <c r="I5" s="1187" t="str">
        <f>CONCATENATE(DATA!E11,",",DATA!E12,",",DATA!E13," ( Mandal )")</f>
        <v>ZP High School,Jonnagiri,Tuggali ( Mandal )</v>
      </c>
      <c r="J5" s="1187"/>
      <c r="K5" s="1187"/>
      <c r="L5" s="1188"/>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c r="BW5" s="707"/>
      <c r="BX5" s="707"/>
    </row>
    <row r="6" spans="1:76" ht="17.25" customHeight="1">
      <c r="A6" s="707"/>
      <c r="B6" s="5">
        <v>1</v>
      </c>
      <c r="C6" s="436" t="s">
        <v>324</v>
      </c>
      <c r="D6" s="437"/>
      <c r="E6" s="437"/>
      <c r="F6" s="1171" t="str">
        <f>DATA!BQ174</f>
        <v>Rented House</v>
      </c>
      <c r="G6" s="1172"/>
      <c r="H6" s="1189" t="str">
        <f>CONCATENATE("PAN No :  ",DATA!E10)</f>
        <v>PAN No :  ASKPRT325V</v>
      </c>
      <c r="I6" s="1190"/>
      <c r="J6" s="1175" t="s">
        <v>600</v>
      </c>
      <c r="K6" s="1176"/>
      <c r="L6" s="433" t="str">
        <f>IF(DATA!P12="","",DATA!P12)</f>
        <v>098756</v>
      </c>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c r="BV6" s="707"/>
      <c r="BW6" s="707"/>
      <c r="BX6" s="707"/>
    </row>
    <row r="7" spans="1:76" ht="13.5" customHeight="1">
      <c r="A7" s="707"/>
      <c r="B7" s="5">
        <v>2</v>
      </c>
      <c r="C7" s="1134" t="s">
        <v>325</v>
      </c>
      <c r="D7" s="1134"/>
      <c r="E7" s="1134"/>
      <c r="F7" s="1134"/>
      <c r="G7" s="1134"/>
      <c r="H7" s="1134"/>
      <c r="I7" s="1134"/>
      <c r="J7" s="397" t="s">
        <v>326</v>
      </c>
      <c r="K7" s="398"/>
      <c r="L7" s="399">
        <f>Bill!P27</f>
        <v>450049</v>
      </c>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c r="BW7" s="707"/>
      <c r="BX7" s="707"/>
    </row>
    <row r="8" spans="1:76" ht="13.5" customHeight="1">
      <c r="A8" s="707"/>
      <c r="B8" s="5">
        <v>3</v>
      </c>
      <c r="C8" s="1150" t="s">
        <v>327</v>
      </c>
      <c r="D8" s="1150"/>
      <c r="E8" s="1150"/>
      <c r="F8" s="1150"/>
      <c r="G8" s="1150"/>
      <c r="H8" s="1150"/>
      <c r="I8" s="1150"/>
      <c r="J8" s="397"/>
      <c r="K8" s="398"/>
      <c r="L8" s="399"/>
      <c r="M8" s="707"/>
      <c r="N8" s="707"/>
      <c r="O8" s="707"/>
      <c r="P8" s="707"/>
      <c r="Q8" s="707"/>
      <c r="R8" s="707"/>
      <c r="S8" s="707"/>
      <c r="T8" s="707"/>
      <c r="U8" s="733">
        <f>Bill!D27+Bill!E27</f>
        <v>368912</v>
      </c>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c r="BA8" s="707"/>
      <c r="BB8" s="707"/>
      <c r="BC8" s="707"/>
      <c r="BD8" s="707"/>
      <c r="BE8" s="707"/>
      <c r="BF8" s="707"/>
      <c r="BG8" s="707"/>
      <c r="BH8" s="707"/>
      <c r="BI8" s="707"/>
      <c r="BJ8" s="707"/>
      <c r="BK8" s="707"/>
      <c r="BL8" s="707"/>
      <c r="BM8" s="707"/>
      <c r="BN8" s="707"/>
      <c r="BO8" s="707"/>
      <c r="BP8" s="707"/>
      <c r="BQ8" s="707"/>
      <c r="BR8" s="707"/>
      <c r="BS8" s="707"/>
      <c r="BT8" s="707"/>
      <c r="BU8" s="707"/>
      <c r="BV8" s="707"/>
      <c r="BW8" s="707"/>
      <c r="BX8" s="707"/>
    </row>
    <row r="9" spans="1:76" ht="13.5" customHeight="1">
      <c r="A9" s="707"/>
      <c r="B9" s="5"/>
      <c r="C9" s="429" t="s">
        <v>328</v>
      </c>
      <c r="D9" s="1168" t="s">
        <v>329</v>
      </c>
      <c r="E9" s="1168"/>
      <c r="F9" s="1168"/>
      <c r="G9" s="1168"/>
      <c r="H9" s="1168"/>
      <c r="I9" s="1168"/>
      <c r="J9" s="775" t="s">
        <v>326</v>
      </c>
      <c r="K9" s="400">
        <f>Bill!F27+Bill!J27</f>
        <v>24965</v>
      </c>
      <c r="L9" s="399"/>
      <c r="M9" s="707"/>
      <c r="N9" s="707"/>
      <c r="O9" s="707"/>
      <c r="P9" s="707"/>
      <c r="Q9" s="707"/>
      <c r="R9" s="707"/>
      <c r="S9" s="707"/>
      <c r="T9" s="707"/>
      <c r="U9" s="733"/>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c r="BG9" s="707"/>
      <c r="BH9" s="707"/>
      <c r="BI9" s="707"/>
      <c r="BJ9" s="707"/>
      <c r="BK9" s="707"/>
      <c r="BL9" s="707"/>
      <c r="BM9" s="707"/>
      <c r="BN9" s="707"/>
      <c r="BO9" s="707"/>
      <c r="BP9" s="707"/>
      <c r="BQ9" s="707"/>
      <c r="BR9" s="707"/>
      <c r="BS9" s="707"/>
      <c r="BT9" s="707"/>
      <c r="BU9" s="707"/>
      <c r="BV9" s="707"/>
      <c r="BW9" s="707"/>
      <c r="BX9" s="707"/>
    </row>
    <row r="10" spans="1:76" ht="13.5" customHeight="1">
      <c r="A10" s="707"/>
      <c r="B10" s="5"/>
      <c r="C10" s="429" t="s">
        <v>330</v>
      </c>
      <c r="D10" s="515" t="s">
        <v>617</v>
      </c>
      <c r="E10" s="515"/>
      <c r="F10" s="515"/>
      <c r="G10" s="515"/>
      <c r="H10" s="515"/>
      <c r="I10" s="686" t="str">
        <f>CONCATENATE("Rent @  ",DATA!G5)</f>
        <v>Rent @  5300</v>
      </c>
      <c r="J10" s="775" t="s">
        <v>326</v>
      </c>
      <c r="K10" s="400">
        <f>DATA!BQ173</f>
        <v>26710</v>
      </c>
      <c r="L10" s="399"/>
      <c r="M10" s="1159" t="s">
        <v>610</v>
      </c>
      <c r="N10" s="1160"/>
      <c r="O10" s="1160"/>
      <c r="P10" s="728">
        <f>DATA!G5</f>
        <v>5300</v>
      </c>
      <c r="Q10" s="707" t="s">
        <v>611</v>
      </c>
      <c r="R10" s="707">
        <f>ROUND(DATA!G5*12,0)</f>
        <v>63600</v>
      </c>
      <c r="S10" s="707"/>
      <c r="T10" s="707"/>
      <c r="U10" s="733"/>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7"/>
      <c r="AY10" s="707"/>
      <c r="AZ10" s="707"/>
      <c r="BA10" s="707"/>
      <c r="BB10" s="707"/>
      <c r="BC10" s="707"/>
      <c r="BD10" s="707"/>
      <c r="BE10" s="707"/>
      <c r="BF10" s="707"/>
      <c r="BG10" s="707"/>
      <c r="BH10" s="707"/>
      <c r="BI10" s="707"/>
      <c r="BJ10" s="707"/>
      <c r="BK10" s="707"/>
      <c r="BL10" s="707"/>
      <c r="BM10" s="707"/>
      <c r="BN10" s="707"/>
      <c r="BO10" s="707"/>
      <c r="BP10" s="707"/>
      <c r="BQ10" s="707"/>
      <c r="BR10" s="707"/>
      <c r="BS10" s="707"/>
      <c r="BT10" s="707"/>
      <c r="BU10" s="707"/>
      <c r="BV10" s="707"/>
      <c r="BW10" s="707"/>
      <c r="BX10" s="707"/>
    </row>
    <row r="11" spans="1:76" ht="13.5" customHeight="1">
      <c r="A11" s="707"/>
      <c r="B11" s="5"/>
      <c r="C11" s="429" t="s">
        <v>331</v>
      </c>
      <c r="D11" s="1168" t="s">
        <v>332</v>
      </c>
      <c r="E11" s="1168"/>
      <c r="F11" s="1168"/>
      <c r="G11" s="1168"/>
      <c r="H11" s="1168"/>
      <c r="I11" s="1168"/>
      <c r="J11" s="775" t="s">
        <v>326</v>
      </c>
      <c r="K11" s="400">
        <f>DATA!BQ241</f>
        <v>147564</v>
      </c>
      <c r="L11" s="401">
        <f>MIN(K9:K11)</f>
        <v>24965</v>
      </c>
      <c r="M11" s="707"/>
      <c r="N11" s="707"/>
      <c r="O11" s="707"/>
      <c r="P11" s="729" t="s">
        <v>612</v>
      </c>
      <c r="Q11" s="707"/>
      <c r="R11" s="707">
        <f>ROUND(U8*10%,-1)</f>
        <v>36890</v>
      </c>
      <c r="S11" s="707"/>
      <c r="T11" s="707"/>
      <c r="U11" s="733"/>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7"/>
      <c r="AZ11" s="707"/>
      <c r="BA11" s="707"/>
      <c r="BB11" s="707"/>
      <c r="BC11" s="707"/>
      <c r="BD11" s="707"/>
      <c r="BE11" s="707"/>
      <c r="BF11" s="707"/>
      <c r="BG11" s="707"/>
      <c r="BH11" s="707"/>
      <c r="BI11" s="707"/>
      <c r="BJ11" s="707"/>
      <c r="BK11" s="707"/>
      <c r="BL11" s="707"/>
      <c r="BM11" s="707"/>
      <c r="BN11" s="707"/>
      <c r="BO11" s="707"/>
      <c r="BP11" s="707"/>
      <c r="BQ11" s="707"/>
      <c r="BR11" s="707"/>
      <c r="BS11" s="707"/>
      <c r="BT11" s="707"/>
      <c r="BU11" s="707"/>
      <c r="BV11" s="707"/>
      <c r="BW11" s="707"/>
      <c r="BX11" s="707"/>
    </row>
    <row r="12" spans="1:76" ht="13.5" customHeight="1">
      <c r="A12" s="707"/>
      <c r="B12" s="5">
        <v>4</v>
      </c>
      <c r="C12" s="1134" t="s">
        <v>333</v>
      </c>
      <c r="D12" s="1134"/>
      <c r="E12" s="1134"/>
      <c r="F12" s="1134"/>
      <c r="G12" s="1134"/>
      <c r="H12" s="1134"/>
      <c r="I12" s="1134"/>
      <c r="J12" s="776" t="s">
        <v>326</v>
      </c>
      <c r="K12" s="398"/>
      <c r="L12" s="399">
        <f>L7-L11</f>
        <v>425084</v>
      </c>
      <c r="M12" s="707"/>
      <c r="N12" s="707"/>
      <c r="O12" s="707"/>
      <c r="P12" s="707"/>
      <c r="Q12" s="707"/>
      <c r="R12" s="707">
        <f>ROUND(R10-R11,0)</f>
        <v>26710</v>
      </c>
      <c r="S12" s="707"/>
      <c r="T12" s="707"/>
      <c r="U12" s="733">
        <f>R11+Bill!F27</f>
        <v>61855</v>
      </c>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c r="BW12" s="707"/>
      <c r="BX12" s="707"/>
    </row>
    <row r="13" spans="1:76" ht="13.5" customHeight="1">
      <c r="A13" s="707"/>
      <c r="B13" s="5">
        <v>5</v>
      </c>
      <c r="C13" s="1150" t="s">
        <v>334</v>
      </c>
      <c r="D13" s="1150"/>
      <c r="E13" s="1150"/>
      <c r="F13" s="1150"/>
      <c r="G13" s="1150"/>
      <c r="H13" s="1150"/>
      <c r="I13" s="1150"/>
      <c r="J13" s="776"/>
      <c r="K13" s="398"/>
      <c r="L13" s="399"/>
      <c r="M13" s="707"/>
      <c r="N13" s="707"/>
      <c r="O13" s="707"/>
      <c r="P13" s="707"/>
      <c r="Q13" s="707"/>
      <c r="R13" s="707"/>
      <c r="S13" s="707"/>
      <c r="T13" s="707"/>
      <c r="U13" s="733">
        <f>ROUND(U12/12,-2)+100</f>
        <v>5300</v>
      </c>
      <c r="V13" s="707"/>
      <c r="W13" s="707"/>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7"/>
      <c r="AV13" s="707"/>
      <c r="AW13" s="707"/>
      <c r="AX13" s="707"/>
      <c r="AY13" s="707"/>
      <c r="AZ13" s="707"/>
      <c r="BA13" s="707"/>
      <c r="BB13" s="707"/>
      <c r="BC13" s="707"/>
      <c r="BD13" s="707"/>
      <c r="BE13" s="707"/>
      <c r="BF13" s="707"/>
      <c r="BG13" s="707"/>
      <c r="BH13" s="707"/>
      <c r="BI13" s="707"/>
      <c r="BJ13" s="707"/>
      <c r="BK13" s="707"/>
      <c r="BL13" s="707"/>
      <c r="BM13" s="707"/>
      <c r="BN13" s="707"/>
      <c r="BO13" s="707"/>
      <c r="BP13" s="707"/>
      <c r="BQ13" s="707"/>
      <c r="BR13" s="707"/>
      <c r="BS13" s="707"/>
      <c r="BT13" s="707"/>
      <c r="BU13" s="707"/>
      <c r="BV13" s="707"/>
      <c r="BW13" s="707"/>
      <c r="BX13" s="707"/>
    </row>
    <row r="14" spans="1:76" ht="13.5" customHeight="1">
      <c r="A14" s="707"/>
      <c r="B14" s="5"/>
      <c r="C14" s="502" t="s">
        <v>328</v>
      </c>
      <c r="D14" s="1132" t="s">
        <v>335</v>
      </c>
      <c r="E14" s="1132"/>
      <c r="F14" s="1132"/>
      <c r="G14" s="1132"/>
      <c r="H14" s="1132"/>
      <c r="I14" s="1132"/>
      <c r="J14" s="775" t="s">
        <v>326</v>
      </c>
      <c r="K14" s="400">
        <f>DATA!BT242</f>
        <v>0</v>
      </c>
      <c r="L14" s="399"/>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707"/>
      <c r="BA14" s="707"/>
      <c r="BB14" s="707"/>
      <c r="BC14" s="707"/>
      <c r="BD14" s="707"/>
      <c r="BE14" s="707"/>
      <c r="BF14" s="707"/>
      <c r="BG14" s="707"/>
      <c r="BH14" s="707"/>
      <c r="BI14" s="707"/>
      <c r="BJ14" s="707"/>
      <c r="BK14" s="707"/>
      <c r="BL14" s="707"/>
      <c r="BM14" s="707"/>
      <c r="BN14" s="707"/>
      <c r="BO14" s="707"/>
      <c r="BP14" s="707"/>
      <c r="BQ14" s="707"/>
      <c r="BR14" s="707"/>
      <c r="BS14" s="707"/>
      <c r="BT14" s="707"/>
      <c r="BU14" s="707"/>
      <c r="BV14" s="707"/>
      <c r="BW14" s="707"/>
      <c r="BX14" s="707"/>
    </row>
    <row r="15" spans="1:76" ht="13.5" customHeight="1">
      <c r="A15" s="707"/>
      <c r="B15" s="5"/>
      <c r="C15" s="502" t="s">
        <v>330</v>
      </c>
      <c r="D15" s="1191" t="s">
        <v>336</v>
      </c>
      <c r="E15" s="1191"/>
      <c r="F15" s="1191"/>
      <c r="G15" s="1191"/>
      <c r="H15" s="1191"/>
      <c r="I15" s="1191"/>
      <c r="J15" s="775" t="s">
        <v>326</v>
      </c>
      <c r="K15" s="400">
        <f>Bill!S27</f>
        <v>2400</v>
      </c>
      <c r="L15" s="401">
        <f>IF(DATA!BU172=1,(DATA!BR240+DATA!BU242),MAX(K14:K15))</f>
        <v>2400</v>
      </c>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7"/>
      <c r="AX15" s="707"/>
      <c r="AY15" s="707"/>
      <c r="AZ15" s="707"/>
      <c r="BA15" s="707"/>
      <c r="BB15" s="707"/>
      <c r="BC15" s="707"/>
      <c r="BD15" s="707"/>
      <c r="BE15" s="707"/>
      <c r="BF15" s="707"/>
      <c r="BG15" s="707"/>
      <c r="BH15" s="707"/>
      <c r="BI15" s="707"/>
      <c r="BJ15" s="707"/>
      <c r="BK15" s="707"/>
      <c r="BL15" s="707"/>
      <c r="BM15" s="707"/>
      <c r="BN15" s="707"/>
      <c r="BO15" s="707"/>
      <c r="BP15" s="707"/>
      <c r="BQ15" s="707"/>
      <c r="BR15" s="707"/>
      <c r="BS15" s="707"/>
      <c r="BT15" s="707"/>
      <c r="BU15" s="707"/>
      <c r="BV15" s="707"/>
      <c r="BW15" s="707"/>
      <c r="BX15" s="707"/>
    </row>
    <row r="16" spans="1:76" ht="13.5" customHeight="1">
      <c r="A16" s="707"/>
      <c r="B16" s="5">
        <v>6</v>
      </c>
      <c r="C16" s="758" t="s">
        <v>337</v>
      </c>
      <c r="D16" s="440"/>
      <c r="E16" s="440"/>
      <c r="F16" s="440"/>
      <c r="G16" s="760"/>
      <c r="H16" s="440"/>
      <c r="I16" s="761"/>
      <c r="J16" s="771" t="str">
        <f>IF(DATA!BB$235=1,IF(DATA!BB235=1,DATA!AV231,""),"  Rs.")</f>
        <v>  Rs.</v>
      </c>
      <c r="K16" s="764">
        <f>IF(DATA!BB235=1,DATA!AX231,"")</f>
      </c>
      <c r="L16" s="399">
        <f>L12-L15</f>
        <v>422684</v>
      </c>
      <c r="M16" s="707"/>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07"/>
      <c r="AS16" s="707"/>
      <c r="AT16" s="707"/>
      <c r="AU16" s="707"/>
      <c r="AV16" s="707"/>
      <c r="AW16" s="707"/>
      <c r="AX16" s="707"/>
      <c r="AY16" s="707"/>
      <c r="AZ16" s="707"/>
      <c r="BA16" s="707"/>
      <c r="BB16" s="707"/>
      <c r="BC16" s="707"/>
      <c r="BD16" s="707"/>
      <c r="BE16" s="707"/>
      <c r="BF16" s="707"/>
      <c r="BG16" s="707"/>
      <c r="BH16" s="707"/>
      <c r="BI16" s="707"/>
      <c r="BJ16" s="707"/>
      <c r="BK16" s="707"/>
      <c r="BL16" s="707"/>
      <c r="BM16" s="707"/>
      <c r="BN16" s="707"/>
      <c r="BO16" s="707"/>
      <c r="BP16" s="707"/>
      <c r="BQ16" s="707"/>
      <c r="BR16" s="707"/>
      <c r="BS16" s="707"/>
      <c r="BT16" s="707"/>
      <c r="BU16" s="707"/>
      <c r="BV16" s="707"/>
      <c r="BW16" s="707"/>
      <c r="BX16" s="707"/>
    </row>
    <row r="17" spans="1:76" ht="13.5" customHeight="1">
      <c r="A17" s="707"/>
      <c r="B17" s="5">
        <v>7</v>
      </c>
      <c r="C17" s="507" t="s">
        <v>338</v>
      </c>
      <c r="D17" s="508"/>
      <c r="E17" s="508"/>
      <c r="F17" s="508"/>
      <c r="G17" s="508"/>
      <c r="H17" s="508"/>
      <c r="I17" s="762"/>
      <c r="J17" s="771" t="str">
        <f>IF(DATA!BB$235=1,IF(DATA!BB235=1,DATA!AV232,""),"  Rs.")</f>
        <v>  Rs.</v>
      </c>
      <c r="K17" s="765">
        <f>IF(DATA!BB235=1,DATA!AX232,"")</f>
      </c>
      <c r="L17" s="399">
        <v>0</v>
      </c>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707"/>
      <c r="AU17" s="707"/>
      <c r="AV17" s="707"/>
      <c r="AW17" s="707"/>
      <c r="AX17" s="707"/>
      <c r="AY17" s="707"/>
      <c r="AZ17" s="707"/>
      <c r="BA17" s="707"/>
      <c r="BB17" s="707"/>
      <c r="BC17" s="707"/>
      <c r="BD17" s="707"/>
      <c r="BE17" s="707"/>
      <c r="BF17" s="707"/>
      <c r="BG17" s="707"/>
      <c r="BH17" s="707"/>
      <c r="BI17" s="707"/>
      <c r="BJ17" s="707"/>
      <c r="BK17" s="707"/>
      <c r="BL17" s="707"/>
      <c r="BM17" s="707"/>
      <c r="BN17" s="707"/>
      <c r="BO17" s="707"/>
      <c r="BP17" s="707"/>
      <c r="BQ17" s="707"/>
      <c r="BR17" s="707"/>
      <c r="BS17" s="707"/>
      <c r="BT17" s="707"/>
      <c r="BU17" s="707"/>
      <c r="BV17" s="707"/>
      <c r="BW17" s="707"/>
      <c r="BX17" s="707"/>
    </row>
    <row r="18" spans="1:76" ht="13.5" customHeight="1">
      <c r="A18" s="707"/>
      <c r="B18" s="5">
        <v>8</v>
      </c>
      <c r="C18" s="507" t="s">
        <v>339</v>
      </c>
      <c r="D18" s="508"/>
      <c r="E18" s="508"/>
      <c r="F18" s="508"/>
      <c r="G18" s="508"/>
      <c r="H18" s="508"/>
      <c r="I18" s="762"/>
      <c r="J18" s="771" t="str">
        <f>IF(DATA!BB$235=1,IF(DATA!BB235=1,DATA!AV233,""),"  Rs.")</f>
        <v>  Rs.</v>
      </c>
      <c r="K18" s="765">
        <f>IF(DATA!BB235=1,DATA!AX233,"")</f>
      </c>
      <c r="L18" s="399">
        <v>0</v>
      </c>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c r="BA18" s="707"/>
      <c r="BB18" s="707"/>
      <c r="BC18" s="707"/>
      <c r="BD18" s="707"/>
      <c r="BE18" s="707"/>
      <c r="BF18" s="707"/>
      <c r="BG18" s="707"/>
      <c r="BH18" s="707"/>
      <c r="BI18" s="707"/>
      <c r="BJ18" s="707"/>
      <c r="BK18" s="707"/>
      <c r="BL18" s="707"/>
      <c r="BM18" s="707"/>
      <c r="BN18" s="707"/>
      <c r="BO18" s="707"/>
      <c r="BP18" s="707"/>
      <c r="BQ18" s="707"/>
      <c r="BR18" s="707"/>
      <c r="BS18" s="707"/>
      <c r="BT18" s="707"/>
      <c r="BU18" s="707"/>
      <c r="BV18" s="707"/>
      <c r="BW18" s="707"/>
      <c r="BX18" s="707"/>
    </row>
    <row r="19" spans="1:76" ht="13.5" customHeight="1">
      <c r="A19" s="707"/>
      <c r="B19" s="5">
        <v>9</v>
      </c>
      <c r="C19" s="684" t="s">
        <v>340</v>
      </c>
      <c r="D19" s="508"/>
      <c r="E19" s="508"/>
      <c r="F19" s="508"/>
      <c r="G19" s="508"/>
      <c r="H19" s="508"/>
      <c r="I19" s="762"/>
      <c r="J19" s="771" t="str">
        <f>IF(DATA!BB$235=1,IF(DATA!BB235=1,DATA!AV234,""),"  Rs.")</f>
        <v>  Rs.</v>
      </c>
      <c r="K19" s="765">
        <f>IF(DATA!BB235=1,DATA!AX234,"")</f>
      </c>
      <c r="L19" s="763">
        <f>IF(K20="",0,K20)</f>
        <v>0</v>
      </c>
      <c r="M19" s="707"/>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07"/>
      <c r="BA19" s="707"/>
      <c r="BB19" s="707"/>
      <c r="BC19" s="707"/>
      <c r="BD19" s="707"/>
      <c r="BE19" s="707"/>
      <c r="BF19" s="707"/>
      <c r="BG19" s="707"/>
      <c r="BH19" s="707"/>
      <c r="BI19" s="707"/>
      <c r="BJ19" s="707"/>
      <c r="BK19" s="707"/>
      <c r="BL19" s="707"/>
      <c r="BM19" s="707"/>
      <c r="BN19" s="707"/>
      <c r="BO19" s="707"/>
      <c r="BP19" s="707"/>
      <c r="BQ19" s="707"/>
      <c r="BR19" s="707"/>
      <c r="BS19" s="707"/>
      <c r="BT19" s="707"/>
      <c r="BU19" s="707"/>
      <c r="BV19" s="707"/>
      <c r="BW19" s="707"/>
      <c r="BX19" s="707"/>
    </row>
    <row r="20" spans="1:76" ht="13.5" customHeight="1">
      <c r="A20" s="707"/>
      <c r="B20" s="5">
        <v>10</v>
      </c>
      <c r="C20" s="758" t="s">
        <v>341</v>
      </c>
      <c r="D20" s="440"/>
      <c r="E20" s="440"/>
      <c r="F20" s="440"/>
      <c r="G20" s="440"/>
      <c r="H20" s="440"/>
      <c r="I20" s="759"/>
      <c r="J20" s="771" t="str">
        <f>IF(DATA!BB$235=1,IF(DATA!BB235=1,DATA!AV236,""),"  Rs.")</f>
        <v>  Rs.</v>
      </c>
      <c r="K20" s="766">
        <f>CONCATENATE("",DATA!AX236)</f>
      </c>
      <c r="L20" s="399">
        <f>L16+L19</f>
        <v>422684</v>
      </c>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c r="BA20" s="707"/>
      <c r="BB20" s="707"/>
      <c r="BC20" s="707"/>
      <c r="BD20" s="707"/>
      <c r="BE20" s="707"/>
      <c r="BF20" s="707"/>
      <c r="BG20" s="707"/>
      <c r="BH20" s="707"/>
      <c r="BI20" s="707"/>
      <c r="BJ20" s="707"/>
      <c r="BK20" s="707"/>
      <c r="BL20" s="707"/>
      <c r="BM20" s="707"/>
      <c r="BN20" s="707"/>
      <c r="BO20" s="707"/>
      <c r="BP20" s="707"/>
      <c r="BQ20" s="707"/>
      <c r="BR20" s="707"/>
      <c r="BS20" s="707"/>
      <c r="BT20" s="707"/>
      <c r="BU20" s="707"/>
      <c r="BV20" s="707"/>
      <c r="BW20" s="707"/>
      <c r="BX20" s="707"/>
    </row>
    <row r="21" spans="1:76" ht="13.5" customHeight="1">
      <c r="A21" s="707"/>
      <c r="B21" s="5">
        <v>11</v>
      </c>
      <c r="C21" s="1134" t="s">
        <v>342</v>
      </c>
      <c r="D21" s="1134"/>
      <c r="E21" s="1134"/>
      <c r="F21" s="1134"/>
      <c r="G21" s="1134"/>
      <c r="H21" s="1134"/>
      <c r="I21" s="1134"/>
      <c r="J21" s="397"/>
      <c r="K21" s="398"/>
      <c r="L21" s="399"/>
      <c r="M21" s="707"/>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c r="BA21" s="707"/>
      <c r="BB21" s="707"/>
      <c r="BC21" s="707"/>
      <c r="BD21" s="707"/>
      <c r="BE21" s="707"/>
      <c r="BF21" s="707"/>
      <c r="BG21" s="707"/>
      <c r="BH21" s="707"/>
      <c r="BI21" s="707"/>
      <c r="BJ21" s="707"/>
      <c r="BK21" s="707"/>
      <c r="BL21" s="707"/>
      <c r="BM21" s="707"/>
      <c r="BN21" s="707"/>
      <c r="BO21" s="707"/>
      <c r="BP21" s="707"/>
      <c r="BQ21" s="707"/>
      <c r="BR21" s="707"/>
      <c r="BS21" s="707"/>
      <c r="BT21" s="707"/>
      <c r="BU21" s="707"/>
      <c r="BV21" s="707"/>
      <c r="BW21" s="707"/>
      <c r="BX21" s="707"/>
    </row>
    <row r="22" spans="1:76" ht="13.5" customHeight="1">
      <c r="A22" s="707"/>
      <c r="B22" s="5"/>
      <c r="C22" s="502" t="s">
        <v>328</v>
      </c>
      <c r="D22" s="503" t="s">
        <v>166</v>
      </c>
      <c r="E22" s="503" t="s">
        <v>588</v>
      </c>
      <c r="F22" s="503"/>
      <c r="G22" s="503"/>
      <c r="H22" s="503"/>
      <c r="I22" s="504"/>
      <c r="J22" s="775" t="s">
        <v>326</v>
      </c>
      <c r="K22" s="400">
        <f>Bill!U27</f>
        <v>1759</v>
      </c>
      <c r="L22" s="399"/>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c r="BA22" s="707"/>
      <c r="BB22" s="707"/>
      <c r="BC22" s="707"/>
      <c r="BD22" s="707"/>
      <c r="BE22" s="707"/>
      <c r="BF22" s="707"/>
      <c r="BG22" s="707"/>
      <c r="BH22" s="707"/>
      <c r="BI22" s="707"/>
      <c r="BJ22" s="707"/>
      <c r="BK22" s="707"/>
      <c r="BL22" s="707"/>
      <c r="BM22" s="707"/>
      <c r="BN22" s="707"/>
      <c r="BO22" s="707"/>
      <c r="BP22" s="707"/>
      <c r="BQ22" s="707"/>
      <c r="BR22" s="707"/>
      <c r="BS22" s="707"/>
      <c r="BT22" s="707"/>
      <c r="BU22" s="707"/>
      <c r="BV22" s="707"/>
      <c r="BW22" s="707"/>
      <c r="BX22" s="707"/>
    </row>
    <row r="23" spans="1:76" ht="13.5" customHeight="1">
      <c r="A23" s="707"/>
      <c r="B23" s="5"/>
      <c r="C23" s="502" t="s">
        <v>330</v>
      </c>
      <c r="D23" s="503" t="str">
        <f>DATA!AW208</f>
        <v>80E</v>
      </c>
      <c r="E23" s="503" t="str">
        <f>DATA!AZ187</f>
        <v>Interest of Educational Loan</v>
      </c>
      <c r="F23" s="503"/>
      <c r="G23" s="503"/>
      <c r="H23" s="503"/>
      <c r="I23" s="504"/>
      <c r="J23" s="775" t="s">
        <v>326</v>
      </c>
      <c r="K23" s="400">
        <f>DATA!BA190</f>
        <v>0</v>
      </c>
      <c r="L23" s="399"/>
      <c r="M23" s="70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c r="BA23" s="707"/>
      <c r="BB23" s="707"/>
      <c r="BC23" s="707"/>
      <c r="BD23" s="707"/>
      <c r="BE23" s="707"/>
      <c r="BF23" s="707"/>
      <c r="BG23" s="707"/>
      <c r="BH23" s="707"/>
      <c r="BI23" s="707"/>
      <c r="BJ23" s="707"/>
      <c r="BK23" s="707"/>
      <c r="BL23" s="707"/>
      <c r="BM23" s="707"/>
      <c r="BN23" s="707"/>
      <c r="BO23" s="707"/>
      <c r="BP23" s="707"/>
      <c r="BQ23" s="707"/>
      <c r="BR23" s="707"/>
      <c r="BS23" s="707"/>
      <c r="BT23" s="707"/>
      <c r="BU23" s="707"/>
      <c r="BV23" s="707"/>
      <c r="BW23" s="707"/>
      <c r="BX23" s="707"/>
    </row>
    <row r="24" spans="1:76" ht="13.5" customHeight="1">
      <c r="A24" s="707"/>
      <c r="B24" s="5"/>
      <c r="C24" s="502" t="s">
        <v>331</v>
      </c>
      <c r="D24" s="503" t="str">
        <f>DATA!AW209</f>
        <v>80DD</v>
      </c>
      <c r="E24" s="503" t="str">
        <f>DATA!AZ188</f>
        <v>Medical treatment of dependent( 40%)</v>
      </c>
      <c r="F24" s="503"/>
      <c r="G24" s="503"/>
      <c r="H24" s="503"/>
      <c r="I24" s="504"/>
      <c r="J24" s="775" t="s">
        <v>326</v>
      </c>
      <c r="K24" s="400">
        <f>DATA!BA191</f>
        <v>0</v>
      </c>
      <c r="L24" s="399"/>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c r="BA24" s="707"/>
      <c r="BB24" s="707"/>
      <c r="BC24" s="707"/>
      <c r="BD24" s="707"/>
      <c r="BE24" s="707"/>
      <c r="BF24" s="707"/>
      <c r="BG24" s="707"/>
      <c r="BH24" s="707"/>
      <c r="BI24" s="707"/>
      <c r="BJ24" s="707"/>
      <c r="BK24" s="707"/>
      <c r="BL24" s="707"/>
      <c r="BM24" s="707"/>
      <c r="BN24" s="707"/>
      <c r="BO24" s="707"/>
      <c r="BP24" s="707"/>
      <c r="BQ24" s="707"/>
      <c r="BR24" s="707"/>
      <c r="BS24" s="707"/>
      <c r="BT24" s="707"/>
      <c r="BU24" s="707"/>
      <c r="BV24" s="707"/>
      <c r="BW24" s="707"/>
      <c r="BX24" s="707"/>
    </row>
    <row r="25" spans="1:76" ht="13.5" customHeight="1">
      <c r="A25" s="707"/>
      <c r="B25" s="5"/>
      <c r="C25" s="502" t="s">
        <v>347</v>
      </c>
      <c r="D25" s="505" t="str">
        <f>DATA!AW207</f>
        <v>80E</v>
      </c>
      <c r="E25" s="505" t="str">
        <f>DATA!AZ186</f>
        <v>Interest of Housing Loan</v>
      </c>
      <c r="F25" s="505"/>
      <c r="G25" s="505"/>
      <c r="H25" s="505"/>
      <c r="I25" s="506"/>
      <c r="J25" s="775" t="s">
        <v>326</v>
      </c>
      <c r="K25" s="400">
        <f>DATA!BA189</f>
        <v>0</v>
      </c>
      <c r="L25" s="399"/>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c r="BA25" s="707"/>
      <c r="BB25" s="707"/>
      <c r="BC25" s="707"/>
      <c r="BD25" s="707"/>
      <c r="BE25" s="707"/>
      <c r="BF25" s="707"/>
      <c r="BG25" s="707"/>
      <c r="BH25" s="707"/>
      <c r="BI25" s="707"/>
      <c r="BJ25" s="707"/>
      <c r="BK25" s="707"/>
      <c r="BL25" s="707"/>
      <c r="BM25" s="707"/>
      <c r="BN25" s="707"/>
      <c r="BO25" s="707"/>
      <c r="BP25" s="707"/>
      <c r="BQ25" s="707"/>
      <c r="BR25" s="707"/>
      <c r="BS25" s="707"/>
      <c r="BT25" s="707"/>
      <c r="BU25" s="707"/>
      <c r="BV25" s="707"/>
      <c r="BW25" s="707"/>
      <c r="BX25" s="707"/>
    </row>
    <row r="26" spans="1:76" ht="13.5" customHeight="1">
      <c r="A26" s="707"/>
      <c r="B26" s="5"/>
      <c r="C26" s="502" t="s">
        <v>348</v>
      </c>
      <c r="D26" s="513" t="s">
        <v>165</v>
      </c>
      <c r="E26" s="513" t="str">
        <f>DATA!AW220</f>
        <v>Disabled Person(PH)-above 40%disability( Rule 11A)</v>
      </c>
      <c r="F26" s="513"/>
      <c r="G26" s="513"/>
      <c r="H26" s="513"/>
      <c r="I26" s="514"/>
      <c r="J26" s="777" t="s">
        <v>326</v>
      </c>
      <c r="K26" s="769">
        <f>DATA!AW222</f>
        <v>0</v>
      </c>
      <c r="L26" s="399"/>
      <c r="M26" s="707"/>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7"/>
      <c r="AL26" s="707"/>
      <c r="AM26" s="707"/>
      <c r="AN26" s="707"/>
      <c r="AO26" s="707"/>
      <c r="AP26" s="707"/>
      <c r="AQ26" s="707"/>
      <c r="AR26" s="707"/>
      <c r="AS26" s="707"/>
      <c r="AT26" s="707"/>
      <c r="AU26" s="707"/>
      <c r="AV26" s="707"/>
      <c r="AW26" s="707"/>
      <c r="AX26" s="707"/>
      <c r="AY26" s="707"/>
      <c r="AZ26" s="707"/>
      <c r="BA26" s="707"/>
      <c r="BB26" s="707"/>
      <c r="BC26" s="707"/>
      <c r="BD26" s="707"/>
      <c r="BE26" s="707"/>
      <c r="BF26" s="707"/>
      <c r="BG26" s="707"/>
      <c r="BH26" s="707"/>
      <c r="BI26" s="707"/>
      <c r="BJ26" s="707"/>
      <c r="BK26" s="707"/>
      <c r="BL26" s="707"/>
      <c r="BM26" s="707"/>
      <c r="BN26" s="707"/>
      <c r="BO26" s="707"/>
      <c r="BP26" s="707"/>
      <c r="BQ26" s="707"/>
      <c r="BR26" s="707"/>
      <c r="BS26" s="707"/>
      <c r="BT26" s="707"/>
      <c r="BU26" s="707"/>
      <c r="BV26" s="707"/>
      <c r="BW26" s="707"/>
      <c r="BX26" s="707"/>
    </row>
    <row r="27" spans="1:76" ht="13.5" customHeight="1">
      <c r="A27" s="707"/>
      <c r="B27" s="5"/>
      <c r="C27" s="502" t="s">
        <v>349</v>
      </c>
      <c r="D27" s="513" t="s">
        <v>791</v>
      </c>
      <c r="E27" s="513" t="s">
        <v>792</v>
      </c>
      <c r="F27" s="513"/>
      <c r="G27" s="513"/>
      <c r="H27" s="513"/>
      <c r="I27" s="513"/>
      <c r="J27" s="778" t="s">
        <v>326</v>
      </c>
      <c r="K27" s="704">
        <f>Bill!V27</f>
        <v>360</v>
      </c>
      <c r="L27" s="399"/>
      <c r="M27" s="707"/>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7"/>
      <c r="BN27" s="707"/>
      <c r="BO27" s="707"/>
      <c r="BP27" s="707"/>
      <c r="BQ27" s="707"/>
      <c r="BR27" s="707"/>
      <c r="BS27" s="707"/>
      <c r="BT27" s="707"/>
      <c r="BU27" s="707"/>
      <c r="BV27" s="707"/>
      <c r="BW27" s="707"/>
      <c r="BX27" s="707"/>
    </row>
    <row r="28" spans="1:76" ht="13.5" customHeight="1">
      <c r="A28" s="707"/>
      <c r="B28" s="5"/>
      <c r="C28" s="1158" t="s">
        <v>345</v>
      </c>
      <c r="D28" s="1158"/>
      <c r="E28" s="1158"/>
      <c r="F28" s="1158"/>
      <c r="G28" s="1158"/>
      <c r="H28" s="1158"/>
      <c r="I28" s="1158"/>
      <c r="J28" s="779" t="s">
        <v>326</v>
      </c>
      <c r="K28" s="402">
        <f>SUM(K22:K27)</f>
        <v>2119</v>
      </c>
      <c r="L28" s="401">
        <f>K28</f>
        <v>2119</v>
      </c>
      <c r="M28" s="707"/>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707"/>
      <c r="AN28" s="707"/>
      <c r="AO28" s="707"/>
      <c r="AP28" s="707"/>
      <c r="AQ28" s="707"/>
      <c r="AR28" s="707"/>
      <c r="AS28" s="707"/>
      <c r="AT28" s="707"/>
      <c r="AU28" s="707"/>
      <c r="AV28" s="707"/>
      <c r="AW28" s="707"/>
      <c r="AX28" s="707"/>
      <c r="AY28" s="707"/>
      <c r="AZ28" s="707"/>
      <c r="BA28" s="707"/>
      <c r="BB28" s="707"/>
      <c r="BC28" s="707"/>
      <c r="BD28" s="707"/>
      <c r="BE28" s="707"/>
      <c r="BF28" s="707"/>
      <c r="BG28" s="707"/>
      <c r="BH28" s="707"/>
      <c r="BI28" s="707"/>
      <c r="BJ28" s="707"/>
      <c r="BK28" s="707"/>
      <c r="BL28" s="707"/>
      <c r="BM28" s="707"/>
      <c r="BN28" s="707"/>
      <c r="BO28" s="707"/>
      <c r="BP28" s="707"/>
      <c r="BQ28" s="707"/>
      <c r="BR28" s="707"/>
      <c r="BS28" s="707"/>
      <c r="BT28" s="707"/>
      <c r="BU28" s="707"/>
      <c r="BV28" s="707"/>
      <c r="BW28" s="707"/>
      <c r="BX28" s="707"/>
    </row>
    <row r="29" spans="1:76" ht="13.5" customHeight="1">
      <c r="A29" s="707"/>
      <c r="B29" s="5">
        <v>12</v>
      </c>
      <c r="C29" s="1150" t="s">
        <v>346</v>
      </c>
      <c r="D29" s="1150"/>
      <c r="E29" s="1150"/>
      <c r="F29" s="1150"/>
      <c r="G29" s="1150"/>
      <c r="H29" s="1150"/>
      <c r="I29" s="1150"/>
      <c r="J29" s="776" t="s">
        <v>326</v>
      </c>
      <c r="K29" s="398"/>
      <c r="L29" s="399">
        <f>IF((L20-L28)&gt;0,(L20-L28),IF((L20-L28)&lt;0,0))</f>
        <v>420565</v>
      </c>
      <c r="M29" s="707"/>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7"/>
      <c r="AY29" s="707"/>
      <c r="AZ29" s="707"/>
      <c r="BA29" s="707"/>
      <c r="BB29" s="707"/>
      <c r="BC29" s="707"/>
      <c r="BD29" s="707"/>
      <c r="BE29" s="707"/>
      <c r="BF29" s="707"/>
      <c r="BG29" s="707"/>
      <c r="BH29" s="707"/>
      <c r="BI29" s="707"/>
      <c r="BJ29" s="707"/>
      <c r="BK29" s="707"/>
      <c r="BL29" s="707"/>
      <c r="BM29" s="707"/>
      <c r="BN29" s="707"/>
      <c r="BO29" s="707"/>
      <c r="BP29" s="707"/>
      <c r="BQ29" s="707"/>
      <c r="BR29" s="707"/>
      <c r="BS29" s="707"/>
      <c r="BT29" s="707"/>
      <c r="BU29" s="707"/>
      <c r="BV29" s="707"/>
      <c r="BW29" s="707"/>
      <c r="BX29" s="707"/>
    </row>
    <row r="30" spans="1:76" ht="13.5" customHeight="1">
      <c r="A30" s="707"/>
      <c r="B30" s="5">
        <v>13</v>
      </c>
      <c r="C30" s="1135" t="s">
        <v>826</v>
      </c>
      <c r="D30" s="1135"/>
      <c r="E30" s="1135"/>
      <c r="F30" s="1135"/>
      <c r="G30" s="1135"/>
      <c r="H30" s="1135"/>
      <c r="I30" s="1135"/>
      <c r="J30" s="776"/>
      <c r="K30" s="398"/>
      <c r="L30" s="399"/>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c r="BA30" s="707"/>
      <c r="BB30" s="707"/>
      <c r="BC30" s="707"/>
      <c r="BD30" s="707"/>
      <c r="BE30" s="707"/>
      <c r="BF30" s="707"/>
      <c r="BG30" s="707"/>
      <c r="BH30" s="707"/>
      <c r="BI30" s="707"/>
      <c r="BJ30" s="707"/>
      <c r="BK30" s="707"/>
      <c r="BL30" s="707"/>
      <c r="BM30" s="707"/>
      <c r="BN30" s="707"/>
      <c r="BO30" s="707"/>
      <c r="BP30" s="707"/>
      <c r="BQ30" s="707"/>
      <c r="BR30" s="707"/>
      <c r="BS30" s="707"/>
      <c r="BT30" s="707"/>
      <c r="BU30" s="707"/>
      <c r="BV30" s="707"/>
      <c r="BW30" s="707"/>
      <c r="BX30" s="707"/>
    </row>
    <row r="31" spans="1:76" ht="13.5" customHeight="1">
      <c r="A31" s="707"/>
      <c r="B31" s="8"/>
      <c r="C31" s="509" t="s">
        <v>328</v>
      </c>
      <c r="D31" s="503" t="str">
        <f>Bill!Q4</f>
        <v>PF</v>
      </c>
      <c r="E31" s="503"/>
      <c r="F31" s="510" t="s">
        <v>597</v>
      </c>
      <c r="G31" s="1156">
        <f>DATA!K29</f>
        <v>56987</v>
      </c>
      <c r="H31" s="1156"/>
      <c r="I31" s="1157"/>
      <c r="J31" s="775" t="s">
        <v>326</v>
      </c>
      <c r="K31" s="400">
        <f>Bill!Q27</f>
        <v>20963</v>
      </c>
      <c r="L31" s="399"/>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c r="BA31" s="707"/>
      <c r="BB31" s="707"/>
      <c r="BC31" s="707"/>
      <c r="BD31" s="707"/>
      <c r="BE31" s="707"/>
      <c r="BF31" s="707"/>
      <c r="BG31" s="707"/>
      <c r="BH31" s="707"/>
      <c r="BI31" s="707"/>
      <c r="BJ31" s="707"/>
      <c r="BK31" s="707"/>
      <c r="BL31" s="707"/>
      <c r="BM31" s="707"/>
      <c r="BN31" s="707"/>
      <c r="BO31" s="707"/>
      <c r="BP31" s="707"/>
      <c r="BQ31" s="707"/>
      <c r="BR31" s="707"/>
      <c r="BS31" s="707"/>
      <c r="BT31" s="707"/>
      <c r="BU31" s="707"/>
      <c r="BV31" s="707"/>
      <c r="BW31" s="707"/>
      <c r="BX31" s="707"/>
    </row>
    <row r="32" spans="1:76" ht="13.5" customHeight="1">
      <c r="A32" s="707"/>
      <c r="B32" s="8"/>
      <c r="C32" s="509" t="s">
        <v>330</v>
      </c>
      <c r="D32" s="1151" t="s">
        <v>298</v>
      </c>
      <c r="E32" s="1151"/>
      <c r="F32" s="510" t="s">
        <v>597</v>
      </c>
      <c r="G32" s="1156" t="str">
        <f>DATA!K30</f>
        <v>L-236548</v>
      </c>
      <c r="H32" s="1156"/>
      <c r="I32" s="1157"/>
      <c r="J32" s="775" t="s">
        <v>326</v>
      </c>
      <c r="K32" s="400">
        <f>Bill!R27</f>
        <v>12000</v>
      </c>
      <c r="L32" s="399"/>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7"/>
      <c r="AX32" s="707"/>
      <c r="AY32" s="707"/>
      <c r="AZ32" s="707"/>
      <c r="BA32" s="707"/>
      <c r="BB32" s="707"/>
      <c r="BC32" s="707"/>
      <c r="BD32" s="707"/>
      <c r="BE32" s="707"/>
      <c r="BF32" s="707"/>
      <c r="BG32" s="707"/>
      <c r="BH32" s="707"/>
      <c r="BI32" s="707"/>
      <c r="BJ32" s="707"/>
      <c r="BK32" s="707"/>
      <c r="BL32" s="707"/>
      <c r="BM32" s="707"/>
      <c r="BN32" s="707"/>
      <c r="BO32" s="707"/>
      <c r="BP32" s="707"/>
      <c r="BQ32" s="707"/>
      <c r="BR32" s="707"/>
      <c r="BS32" s="707"/>
      <c r="BT32" s="707"/>
      <c r="BU32" s="707"/>
      <c r="BV32" s="707"/>
      <c r="BW32" s="707"/>
      <c r="BX32" s="707"/>
    </row>
    <row r="33" spans="1:76" ht="13.5" customHeight="1">
      <c r="A33" s="707"/>
      <c r="B33" s="8"/>
      <c r="C33" s="509" t="s">
        <v>331</v>
      </c>
      <c r="D33" s="511" t="s">
        <v>149</v>
      </c>
      <c r="E33" s="511"/>
      <c r="F33" s="511"/>
      <c r="G33" s="511"/>
      <c r="H33" s="511"/>
      <c r="I33" s="511"/>
      <c r="J33" s="775" t="s">
        <v>326</v>
      </c>
      <c r="K33" s="400">
        <f>Bill!T27</f>
        <v>720</v>
      </c>
      <c r="L33" s="399"/>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c r="BA33" s="707"/>
      <c r="BB33" s="707"/>
      <c r="BC33" s="707"/>
      <c r="BD33" s="707"/>
      <c r="BE33" s="707"/>
      <c r="BF33" s="707"/>
      <c r="BG33" s="707"/>
      <c r="BH33" s="707"/>
      <c r="BI33" s="707"/>
      <c r="BJ33" s="707"/>
      <c r="BK33" s="707"/>
      <c r="BL33" s="707"/>
      <c r="BM33" s="707"/>
      <c r="BN33" s="707"/>
      <c r="BO33" s="707"/>
      <c r="BP33" s="707"/>
      <c r="BQ33" s="707"/>
      <c r="BR33" s="707"/>
      <c r="BS33" s="707"/>
      <c r="BT33" s="707"/>
      <c r="BU33" s="707"/>
      <c r="BV33" s="707"/>
      <c r="BW33" s="707"/>
      <c r="BX33" s="707"/>
    </row>
    <row r="34" spans="1:76" ht="13.5" customHeight="1">
      <c r="A34" s="707"/>
      <c r="B34" s="8"/>
      <c r="C34" s="509" t="s">
        <v>347</v>
      </c>
      <c r="D34" s="1151" t="s">
        <v>561</v>
      </c>
      <c r="E34" s="1151"/>
      <c r="F34" s="1151"/>
      <c r="G34" s="1151"/>
      <c r="H34" s="1151"/>
      <c r="I34" s="1152"/>
      <c r="J34" s="775" t="s">
        <v>326</v>
      </c>
      <c r="K34" s="400">
        <f>Bill!W27</f>
        <v>0</v>
      </c>
      <c r="L34" s="399"/>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7"/>
      <c r="AY34" s="707"/>
      <c r="AZ34" s="707"/>
      <c r="BA34" s="707"/>
      <c r="BB34" s="707"/>
      <c r="BC34" s="707"/>
      <c r="BD34" s="707"/>
      <c r="BE34" s="707"/>
      <c r="BF34" s="707"/>
      <c r="BG34" s="707"/>
      <c r="BH34" s="707"/>
      <c r="BI34" s="707"/>
      <c r="BJ34" s="707"/>
      <c r="BK34" s="707"/>
      <c r="BL34" s="707"/>
      <c r="BM34" s="707"/>
      <c r="BN34" s="707"/>
      <c r="BO34" s="707"/>
      <c r="BP34" s="707"/>
      <c r="BQ34" s="707"/>
      <c r="BR34" s="707"/>
      <c r="BS34" s="707"/>
      <c r="BT34" s="707"/>
      <c r="BU34" s="707"/>
      <c r="BV34" s="707"/>
      <c r="BW34" s="707"/>
      <c r="BX34" s="707"/>
    </row>
    <row r="35" spans="1:76" ht="13.5" customHeight="1">
      <c r="A35" s="707"/>
      <c r="B35" s="8"/>
      <c r="C35" s="509" t="s">
        <v>348</v>
      </c>
      <c r="D35" s="1153" t="str">
        <f>DATA!AT186</f>
        <v>LIC Policies premium - Yearly</v>
      </c>
      <c r="E35" s="1153"/>
      <c r="F35" s="1153"/>
      <c r="G35" s="1153"/>
      <c r="H35" s="1153"/>
      <c r="I35" s="1154"/>
      <c r="J35" s="775" t="s">
        <v>326</v>
      </c>
      <c r="K35" s="400">
        <f>DATA!G25</f>
        <v>0</v>
      </c>
      <c r="L35" s="399"/>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c r="BA35" s="707"/>
      <c r="BB35" s="707"/>
      <c r="BC35" s="707"/>
      <c r="BD35" s="707"/>
      <c r="BE35" s="707"/>
      <c r="BF35" s="707"/>
      <c r="BG35" s="707"/>
      <c r="BH35" s="707"/>
      <c r="BI35" s="707"/>
      <c r="BJ35" s="707"/>
      <c r="BK35" s="707"/>
      <c r="BL35" s="707"/>
      <c r="BM35" s="707"/>
      <c r="BN35" s="707"/>
      <c r="BO35" s="707"/>
      <c r="BP35" s="707"/>
      <c r="BQ35" s="707"/>
      <c r="BR35" s="707"/>
      <c r="BS35" s="707"/>
      <c r="BT35" s="707"/>
      <c r="BU35" s="707"/>
      <c r="BV35" s="707"/>
      <c r="BW35" s="707"/>
      <c r="BX35" s="707"/>
    </row>
    <row r="36" spans="1:76" ht="13.5" customHeight="1">
      <c r="A36" s="707"/>
      <c r="B36" s="8"/>
      <c r="C36" s="509" t="s">
        <v>349</v>
      </c>
      <c r="D36" s="1132" t="str">
        <f>DATA!AT187</f>
        <v>Repayment of Home Loan installments</v>
      </c>
      <c r="E36" s="1132"/>
      <c r="F36" s="1132"/>
      <c r="G36" s="1132"/>
      <c r="H36" s="1132"/>
      <c r="I36" s="1155"/>
      <c r="J36" s="775" t="s">
        <v>326</v>
      </c>
      <c r="K36" s="400">
        <f>DATA!G26</f>
        <v>0</v>
      </c>
      <c r="L36" s="399"/>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07"/>
      <c r="BS36" s="707"/>
      <c r="BT36" s="707"/>
      <c r="BU36" s="707"/>
      <c r="BV36" s="707"/>
      <c r="BW36" s="707"/>
      <c r="BX36" s="707"/>
    </row>
    <row r="37" spans="1:76" ht="13.5" customHeight="1">
      <c r="A37" s="707"/>
      <c r="B37" s="8"/>
      <c r="C37" s="512" t="s">
        <v>343</v>
      </c>
      <c r="D37" s="1132" t="str">
        <f>DATA!AR186</f>
        <v>Tuition Fee for Two children</v>
      </c>
      <c r="E37" s="1132"/>
      <c r="F37" s="1132"/>
      <c r="G37" s="1132"/>
      <c r="H37" s="1132"/>
      <c r="I37" s="1155"/>
      <c r="J37" s="775" t="s">
        <v>326</v>
      </c>
      <c r="K37" s="400">
        <f>DATA!G27</f>
        <v>0</v>
      </c>
      <c r="L37" s="399"/>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7"/>
      <c r="BJ37" s="707"/>
      <c r="BK37" s="707"/>
      <c r="BL37" s="707"/>
      <c r="BM37" s="707"/>
      <c r="BN37" s="707"/>
      <c r="BO37" s="707"/>
      <c r="BP37" s="707"/>
      <c r="BQ37" s="707"/>
      <c r="BR37" s="707"/>
      <c r="BS37" s="707"/>
      <c r="BT37" s="707"/>
      <c r="BU37" s="707"/>
      <c r="BV37" s="707"/>
      <c r="BW37" s="707"/>
      <c r="BX37" s="707"/>
    </row>
    <row r="38" spans="1:76" ht="13.5" customHeight="1">
      <c r="A38" s="707"/>
      <c r="B38" s="8"/>
      <c r="C38" s="509" t="s">
        <v>344</v>
      </c>
      <c r="D38" s="1132" t="str">
        <f>DATA!AR187</f>
        <v>PLI</v>
      </c>
      <c r="E38" s="1132"/>
      <c r="F38" s="1132"/>
      <c r="G38" s="1132"/>
      <c r="H38" s="1132"/>
      <c r="I38" s="1155"/>
      <c r="J38" s="775" t="s">
        <v>326</v>
      </c>
      <c r="K38" s="400">
        <f>DATA!G28</f>
        <v>0</v>
      </c>
      <c r="L38" s="399"/>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7"/>
      <c r="BJ38" s="707"/>
      <c r="BK38" s="707"/>
      <c r="BL38" s="707"/>
      <c r="BM38" s="707"/>
      <c r="BN38" s="707"/>
      <c r="BO38" s="707"/>
      <c r="BP38" s="707"/>
      <c r="BQ38" s="707"/>
      <c r="BR38" s="707"/>
      <c r="BS38" s="707"/>
      <c r="BT38" s="707"/>
      <c r="BU38" s="707"/>
      <c r="BV38" s="707"/>
      <c r="BW38" s="707"/>
      <c r="BX38" s="707"/>
    </row>
    <row r="39" spans="1:76" ht="13.5" customHeight="1">
      <c r="A39" s="707"/>
      <c r="B39" s="8"/>
      <c r="C39" s="512" t="s">
        <v>350</v>
      </c>
      <c r="D39" s="503" t="s">
        <v>58</v>
      </c>
      <c r="E39" s="503"/>
      <c r="F39" s="503"/>
      <c r="G39" s="503"/>
      <c r="H39" s="503"/>
      <c r="I39" s="504"/>
      <c r="J39" s="775" t="s">
        <v>326</v>
      </c>
      <c r="K39" s="400">
        <f>DATA!BT265</f>
        <v>0</v>
      </c>
      <c r="L39" s="399"/>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707"/>
      <c r="BP39" s="707"/>
      <c r="BQ39" s="707"/>
      <c r="BR39" s="707"/>
      <c r="BS39" s="707"/>
      <c r="BT39" s="707"/>
      <c r="BU39" s="707"/>
      <c r="BV39" s="707"/>
      <c r="BW39" s="707"/>
      <c r="BX39" s="707"/>
    </row>
    <row r="40" spans="1:76" ht="13.5" customHeight="1">
      <c r="A40" s="707"/>
      <c r="B40" s="8"/>
      <c r="C40" s="509" t="s">
        <v>560</v>
      </c>
      <c r="D40" s="1151" t="str">
        <f>DATA!C30</f>
        <v>Any Other Entry</v>
      </c>
      <c r="E40" s="1151"/>
      <c r="F40" s="1151"/>
      <c r="G40" s="1151"/>
      <c r="H40" s="1151"/>
      <c r="I40" s="504"/>
      <c r="J40" s="780" t="s">
        <v>326</v>
      </c>
      <c r="K40" s="400">
        <f>DATA!G30</f>
        <v>0</v>
      </c>
      <c r="L40" s="399"/>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s="707"/>
      <c r="BP40" s="707"/>
      <c r="BQ40" s="707"/>
      <c r="BR40" s="707"/>
      <c r="BS40" s="707"/>
      <c r="BT40" s="707"/>
      <c r="BU40" s="707"/>
      <c r="BV40" s="707"/>
      <c r="BW40" s="707"/>
      <c r="BX40" s="707"/>
    </row>
    <row r="41" spans="1:76" ht="13.5" customHeight="1">
      <c r="A41" s="707"/>
      <c r="B41" s="5"/>
      <c r="C41" s="1150" t="s">
        <v>351</v>
      </c>
      <c r="D41" s="1150"/>
      <c r="E41" s="1150"/>
      <c r="F41" s="1150"/>
      <c r="G41" s="393"/>
      <c r="H41" s="393"/>
      <c r="I41" s="394"/>
      <c r="J41" s="781" t="s">
        <v>326</v>
      </c>
      <c r="K41" s="402">
        <f>SUM(K31:K38)+K40</f>
        <v>33683</v>
      </c>
      <c r="L41" s="401">
        <f>IF(K41&gt;150000,150000,IF(K41&lt;150000,K41))+K39</f>
        <v>33683</v>
      </c>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707"/>
      <c r="BP41" s="707"/>
      <c r="BQ41" s="707"/>
      <c r="BR41" s="707"/>
      <c r="BS41" s="707"/>
      <c r="BT41" s="707"/>
      <c r="BU41" s="707"/>
      <c r="BV41" s="707"/>
      <c r="BW41" s="707"/>
      <c r="BX41" s="707"/>
    </row>
    <row r="42" spans="1:76" ht="13.5" customHeight="1">
      <c r="A42" s="707"/>
      <c r="B42" s="5">
        <v>14</v>
      </c>
      <c r="C42" s="1150" t="s">
        <v>352</v>
      </c>
      <c r="D42" s="1150"/>
      <c r="E42" s="1150"/>
      <c r="F42" s="1150"/>
      <c r="G42" s="1150"/>
      <c r="H42" s="1150"/>
      <c r="I42" s="1150"/>
      <c r="J42" s="782" t="s">
        <v>326</v>
      </c>
      <c r="K42" s="403"/>
      <c r="L42" s="404">
        <f>IF((L29-L41)&gt;0,(L29-L41),IF((L29-L41)&lt;0,0))</f>
        <v>386882</v>
      </c>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c r="BO42" s="707"/>
      <c r="BP42" s="707"/>
      <c r="BQ42" s="707"/>
      <c r="BR42" s="707"/>
      <c r="BS42" s="707"/>
      <c r="BT42" s="707"/>
      <c r="BU42" s="707"/>
      <c r="BV42" s="707"/>
      <c r="BW42" s="707"/>
      <c r="BX42" s="707"/>
    </row>
    <row r="43" spans="1:76" ht="13.5" customHeight="1">
      <c r="A43" s="707"/>
      <c r="B43" s="5">
        <v>15</v>
      </c>
      <c r="C43" s="1150" t="s">
        <v>353</v>
      </c>
      <c r="D43" s="1150"/>
      <c r="E43" s="1150"/>
      <c r="F43" s="1150"/>
      <c r="G43" s="1150"/>
      <c r="H43" s="1150"/>
      <c r="I43" s="393"/>
      <c r="J43" s="1185" t="str">
        <f>CONCATENATE("Tax   Rs.  ",DATA!CF258)</f>
        <v>Tax   Rs.  136882</v>
      </c>
      <c r="K43" s="1186"/>
      <c r="L43" s="405"/>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7"/>
      <c r="BK43" s="707"/>
      <c r="BL43" s="707"/>
      <c r="BM43" s="707"/>
      <c r="BN43" s="707"/>
      <c r="BO43" s="707"/>
      <c r="BP43" s="707"/>
      <c r="BQ43" s="707"/>
      <c r="BR43" s="707"/>
      <c r="BS43" s="707"/>
      <c r="BT43" s="707"/>
      <c r="BU43" s="707"/>
      <c r="BV43" s="707"/>
      <c r="BW43" s="707"/>
      <c r="BX43" s="707"/>
    </row>
    <row r="44" spans="1:76" ht="13.5" customHeight="1">
      <c r="A44" s="707"/>
      <c r="B44" s="5"/>
      <c r="C44" s="429" t="s">
        <v>328</v>
      </c>
      <c r="D44" s="1130" t="s">
        <v>775</v>
      </c>
      <c r="E44" s="1130"/>
      <c r="F44" s="1130"/>
      <c r="G44" s="1130"/>
      <c r="H44" s="10"/>
      <c r="I44" s="3"/>
      <c r="J44" s="770" t="s">
        <v>326</v>
      </c>
      <c r="K44" s="406"/>
      <c r="L44" s="407" t="s">
        <v>354</v>
      </c>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707"/>
      <c r="BP44" s="707"/>
      <c r="BQ44" s="707"/>
      <c r="BR44" s="707"/>
      <c r="BS44" s="707"/>
      <c r="BT44" s="707"/>
      <c r="BU44" s="707"/>
      <c r="BV44" s="707"/>
      <c r="BW44" s="707"/>
      <c r="BX44" s="707"/>
    </row>
    <row r="45" spans="1:76" ht="13.5" customHeight="1">
      <c r="A45" s="707"/>
      <c r="B45" s="5"/>
      <c r="C45" s="429" t="s">
        <v>330</v>
      </c>
      <c r="D45" s="1131" t="s">
        <v>776</v>
      </c>
      <c r="E45" s="1131"/>
      <c r="F45" s="1131"/>
      <c r="G45" s="1131"/>
      <c r="H45" s="316" t="str">
        <f>IF(DATA!CE258=0,"",CONCATENATE("( ",DATA!CE258,"  @","  10% )"))</f>
        <v>( 136882  @  10% )</v>
      </c>
      <c r="I45" s="2"/>
      <c r="J45" s="770" t="s">
        <v>326</v>
      </c>
      <c r="K45" s="408"/>
      <c r="L45" s="409">
        <f>DATA!CC262</f>
        <v>13688</v>
      </c>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07"/>
    </row>
    <row r="46" spans="1:76" ht="13.5" customHeight="1">
      <c r="A46" s="707"/>
      <c r="B46" s="5"/>
      <c r="C46" s="429" t="s">
        <v>331</v>
      </c>
      <c r="D46" s="505" t="s">
        <v>355</v>
      </c>
      <c r="E46" s="505"/>
      <c r="F46" s="505"/>
      <c r="G46" s="438"/>
      <c r="H46" s="858">
        <f>IF(DATA!CD260=0,"",CONCATENATE("( ",DATA!CD260,"  @","  20% )"))</f>
      </c>
      <c r="I46" s="7"/>
      <c r="J46" s="770" t="s">
        <v>326</v>
      </c>
      <c r="K46" s="410"/>
      <c r="L46" s="411">
        <f>DATA!CD263</f>
        <v>0</v>
      </c>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07"/>
      <c r="BK46" s="707"/>
      <c r="BL46" s="707"/>
      <c r="BM46" s="707"/>
      <c r="BN46" s="707"/>
      <c r="BO46" s="707"/>
      <c r="BP46" s="707"/>
      <c r="BQ46" s="707"/>
      <c r="BR46" s="707"/>
      <c r="BS46" s="707"/>
      <c r="BT46" s="707"/>
      <c r="BU46" s="707"/>
      <c r="BV46" s="707"/>
      <c r="BW46" s="707"/>
      <c r="BX46" s="707"/>
    </row>
    <row r="47" spans="1:76" ht="13.5" customHeight="1">
      <c r="A47" s="707"/>
      <c r="B47" s="5"/>
      <c r="C47" s="429" t="s">
        <v>347</v>
      </c>
      <c r="D47" s="1132" t="s">
        <v>356</v>
      </c>
      <c r="E47" s="1132"/>
      <c r="F47" s="1132"/>
      <c r="G47" s="1132"/>
      <c r="H47" s="11"/>
      <c r="I47" s="7"/>
      <c r="J47" s="770" t="s">
        <v>326</v>
      </c>
      <c r="K47" s="400"/>
      <c r="L47" s="412">
        <v>0</v>
      </c>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707"/>
      <c r="BP47" s="707"/>
      <c r="BQ47" s="707"/>
      <c r="BR47" s="707"/>
      <c r="BS47" s="707"/>
      <c r="BT47" s="707"/>
      <c r="BU47" s="707"/>
      <c r="BV47" s="707"/>
      <c r="BW47" s="707"/>
      <c r="BX47" s="707"/>
    </row>
    <row r="48" spans="1:76" ht="13.5" customHeight="1">
      <c r="A48" s="707"/>
      <c r="B48" s="5">
        <v>16</v>
      </c>
      <c r="C48" s="1135" t="s">
        <v>607</v>
      </c>
      <c r="D48" s="1136"/>
      <c r="E48" s="1136"/>
      <c r="F48" s="1136"/>
      <c r="G48" s="1136"/>
      <c r="H48" s="1136"/>
      <c r="I48" s="1137"/>
      <c r="J48" s="770" t="s">
        <v>326</v>
      </c>
      <c r="K48" s="452"/>
      <c r="L48" s="725">
        <f>IF(AND(L42&lt;=500000,L42&gt;250000),DATA!CA262,0)</f>
        <v>2000</v>
      </c>
      <c r="M48" s="707"/>
      <c r="N48" s="730" t="str">
        <f>CONCATENATE("If Taxble income "," ",L45," ","deduction ",L48)</f>
        <v>If Taxble income  13688 deduction 2000</v>
      </c>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s="707"/>
      <c r="BP48" s="707"/>
      <c r="BQ48" s="707"/>
      <c r="BR48" s="707"/>
      <c r="BS48" s="707"/>
      <c r="BT48" s="707"/>
      <c r="BU48" s="707"/>
      <c r="BV48" s="707"/>
      <c r="BW48" s="707"/>
      <c r="BX48" s="707"/>
    </row>
    <row r="49" spans="1:76" ht="13.5" customHeight="1">
      <c r="A49" s="707"/>
      <c r="B49" s="5">
        <v>17</v>
      </c>
      <c r="C49" s="6" t="s">
        <v>509</v>
      </c>
      <c r="D49" s="9"/>
      <c r="E49" s="9"/>
      <c r="F49" s="9"/>
      <c r="G49" s="9"/>
      <c r="H49" s="9"/>
      <c r="I49" s="12"/>
      <c r="J49" s="770"/>
      <c r="K49" s="400"/>
      <c r="L49" s="407">
        <f>IF(((L45-L48)+L46)&gt;0,((L45-L48)+L46),0)</f>
        <v>11688</v>
      </c>
      <c r="M49" s="707"/>
      <c r="N49" s="731"/>
      <c r="O49" s="732"/>
      <c r="P49" s="732"/>
      <c r="Q49" s="732"/>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s="707"/>
      <c r="BP49" s="707"/>
      <c r="BQ49" s="707"/>
      <c r="BR49" s="707"/>
      <c r="BS49" s="707"/>
      <c r="BT49" s="707"/>
      <c r="BU49" s="707"/>
      <c r="BV49" s="707"/>
      <c r="BW49" s="707"/>
      <c r="BX49" s="707"/>
    </row>
    <row r="50" spans="1:76" ht="13.5" customHeight="1">
      <c r="A50" s="707"/>
      <c r="B50" s="5">
        <v>18</v>
      </c>
      <c r="C50" s="726" t="s">
        <v>794</v>
      </c>
      <c r="D50" s="505"/>
      <c r="E50" s="505"/>
      <c r="F50" s="505"/>
      <c r="G50" s="505"/>
      <c r="H50" s="505"/>
      <c r="I50" s="7"/>
      <c r="J50" s="770" t="s">
        <v>326</v>
      </c>
      <c r="K50" s="400"/>
      <c r="L50" s="413">
        <f>DATA!CE264+DATA!CF264</f>
        <v>351</v>
      </c>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07"/>
      <c r="AY50" s="707"/>
      <c r="AZ50" s="707"/>
      <c r="BA50" s="707"/>
      <c r="BB50" s="707"/>
      <c r="BC50" s="707"/>
      <c r="BD50" s="707"/>
      <c r="BE50" s="707"/>
      <c r="BF50" s="707"/>
      <c r="BG50" s="707"/>
      <c r="BH50" s="707"/>
      <c r="BI50" s="707"/>
      <c r="BJ50" s="707"/>
      <c r="BK50" s="707"/>
      <c r="BL50" s="707"/>
      <c r="BM50" s="707"/>
      <c r="BN50" s="707"/>
      <c r="BO50" s="707"/>
      <c r="BP50" s="707"/>
      <c r="BQ50" s="707"/>
      <c r="BR50" s="707"/>
      <c r="BS50" s="707"/>
      <c r="BT50" s="707"/>
      <c r="BU50" s="707"/>
      <c r="BV50" s="707"/>
      <c r="BW50" s="707"/>
      <c r="BX50" s="707"/>
    </row>
    <row r="51" spans="1:76" ht="13.5" customHeight="1" hidden="1">
      <c r="A51" s="707"/>
      <c r="B51" s="5">
        <v>19</v>
      </c>
      <c r="C51" s="1133" t="s">
        <v>357</v>
      </c>
      <c r="D51" s="1133"/>
      <c r="E51" s="1133"/>
      <c r="F51" s="1133"/>
      <c r="G51" s="1133"/>
      <c r="H51" s="1133"/>
      <c r="I51" s="7"/>
      <c r="J51" s="770" t="s">
        <v>326</v>
      </c>
      <c r="K51" s="400"/>
      <c r="L51" s="413">
        <f>DATA!CF264</f>
        <v>234</v>
      </c>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7"/>
      <c r="AO51" s="707"/>
      <c r="AP51" s="707"/>
      <c r="AQ51" s="707"/>
      <c r="AR51" s="707"/>
      <c r="AS51" s="707"/>
      <c r="AT51" s="707"/>
      <c r="AU51" s="707"/>
      <c r="AV51" s="707"/>
      <c r="AW51" s="707"/>
      <c r="AX51" s="707"/>
      <c r="AY51" s="707"/>
      <c r="AZ51" s="707"/>
      <c r="BA51" s="707"/>
      <c r="BB51" s="707"/>
      <c r="BC51" s="707"/>
      <c r="BD51" s="707"/>
      <c r="BE51" s="707"/>
      <c r="BF51" s="707"/>
      <c r="BG51" s="707"/>
      <c r="BH51" s="707"/>
      <c r="BI51" s="707"/>
      <c r="BJ51" s="707"/>
      <c r="BK51" s="707"/>
      <c r="BL51" s="707"/>
      <c r="BM51" s="707"/>
      <c r="BN51" s="707"/>
      <c r="BO51" s="707"/>
      <c r="BP51" s="707"/>
      <c r="BQ51" s="707"/>
      <c r="BR51" s="707"/>
      <c r="BS51" s="707"/>
      <c r="BT51" s="707"/>
      <c r="BU51" s="707"/>
      <c r="BV51" s="707"/>
      <c r="BW51" s="707"/>
      <c r="BX51" s="707"/>
    </row>
    <row r="52" spans="1:76" ht="13.5" customHeight="1">
      <c r="A52" s="707"/>
      <c r="B52" s="5">
        <v>19</v>
      </c>
      <c r="C52" s="1134" t="s">
        <v>510</v>
      </c>
      <c r="D52" s="1134"/>
      <c r="E52" s="1134"/>
      <c r="F52" s="1134"/>
      <c r="G52" s="1134"/>
      <c r="H52" s="1134"/>
      <c r="I52" s="12"/>
      <c r="J52" s="770" t="s">
        <v>326</v>
      </c>
      <c r="K52" s="400"/>
      <c r="L52" s="407">
        <f>SUM(L49:L50)</f>
        <v>12039</v>
      </c>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07"/>
      <c r="BL52" s="707"/>
      <c r="BM52" s="707"/>
      <c r="BN52" s="707"/>
      <c r="BO52" s="707"/>
      <c r="BP52" s="707"/>
      <c r="BQ52" s="707"/>
      <c r="BR52" s="707"/>
      <c r="BS52" s="707"/>
      <c r="BT52" s="707"/>
      <c r="BU52" s="707"/>
      <c r="BV52" s="707"/>
      <c r="BW52" s="707"/>
      <c r="BX52" s="707"/>
    </row>
    <row r="53" spans="1:76" ht="13.5" customHeight="1">
      <c r="A53" s="707"/>
      <c r="B53" s="5">
        <v>20</v>
      </c>
      <c r="C53" s="1134" t="s">
        <v>358</v>
      </c>
      <c r="D53" s="1134"/>
      <c r="E53" s="1134"/>
      <c r="F53" s="1134"/>
      <c r="G53" s="1134"/>
      <c r="H53" s="1134"/>
      <c r="I53" s="12"/>
      <c r="J53" s="1128" t="s">
        <v>359</v>
      </c>
      <c r="K53" s="1129"/>
      <c r="L53" s="768">
        <f>SUM(H54:H59)</f>
        <v>0</v>
      </c>
      <c r="M53" s="7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c r="BA53" s="707"/>
      <c r="BB53" s="707"/>
      <c r="BC53" s="707"/>
      <c r="BD53" s="707"/>
      <c r="BE53" s="707"/>
      <c r="BF53" s="707"/>
      <c r="BG53" s="707"/>
      <c r="BH53" s="707"/>
      <c r="BI53" s="707"/>
      <c r="BJ53" s="707"/>
      <c r="BK53" s="707"/>
      <c r="BL53" s="707"/>
      <c r="BM53" s="707"/>
      <c r="BN53" s="707"/>
      <c r="BO53" s="707"/>
      <c r="BP53" s="707"/>
      <c r="BQ53" s="707"/>
      <c r="BR53" s="707"/>
      <c r="BS53" s="707"/>
      <c r="BT53" s="707"/>
      <c r="BU53" s="707"/>
      <c r="BV53" s="707"/>
      <c r="BW53" s="707"/>
      <c r="BX53" s="707"/>
    </row>
    <row r="54" spans="1:76" ht="13.5" customHeight="1">
      <c r="A54" s="707"/>
      <c r="B54" s="13"/>
      <c r="C54" s="434" t="s">
        <v>328</v>
      </c>
      <c r="D54" s="1149" t="s">
        <v>777</v>
      </c>
      <c r="E54" s="1149"/>
      <c r="F54" s="1149"/>
      <c r="G54" s="430" t="s">
        <v>326</v>
      </c>
      <c r="H54" s="431">
        <f>IF(DATA!S23="","",DATA!S23)</f>
      </c>
      <c r="I54" s="14"/>
      <c r="J54" s="1179" t="s">
        <v>360</v>
      </c>
      <c r="K54" s="1180"/>
      <c r="L54" s="1138">
        <f>IF(((L49+L50)-L53)&gt;0,((L49+L50)-L53),"No Tax")</f>
        <v>12039</v>
      </c>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c r="BC54" s="707"/>
      <c r="BD54" s="707"/>
      <c r="BE54" s="707"/>
      <c r="BF54" s="707"/>
      <c r="BG54" s="707"/>
      <c r="BH54" s="707"/>
      <c r="BI54" s="707"/>
      <c r="BJ54" s="707"/>
      <c r="BK54" s="707"/>
      <c r="BL54" s="707"/>
      <c r="BM54" s="707"/>
      <c r="BN54" s="707"/>
      <c r="BO54" s="707"/>
      <c r="BP54" s="707"/>
      <c r="BQ54" s="707"/>
      <c r="BR54" s="707"/>
      <c r="BS54" s="707"/>
      <c r="BT54" s="707"/>
      <c r="BU54" s="707"/>
      <c r="BV54" s="707"/>
      <c r="BW54" s="707"/>
      <c r="BX54" s="707"/>
    </row>
    <row r="55" spans="1:76" ht="13.5" customHeight="1">
      <c r="A55" s="707"/>
      <c r="B55" s="13"/>
      <c r="C55" s="434" t="s">
        <v>330</v>
      </c>
      <c r="D55" s="1149" t="s">
        <v>778</v>
      </c>
      <c r="E55" s="1149"/>
      <c r="F55" s="1149"/>
      <c r="G55" s="430" t="s">
        <v>326</v>
      </c>
      <c r="H55" s="431">
        <f>IF(DATA!S24="","",DATA!S24)</f>
      </c>
      <c r="I55" s="14"/>
      <c r="J55" s="1181"/>
      <c r="K55" s="1182"/>
      <c r="L55" s="1139"/>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c r="BA55" s="707"/>
      <c r="BB55" s="707"/>
      <c r="BC55" s="707"/>
      <c r="BD55" s="707"/>
      <c r="BE55" s="707"/>
      <c r="BF55" s="707"/>
      <c r="BG55" s="707"/>
      <c r="BH55" s="707"/>
      <c r="BI55" s="707"/>
      <c r="BJ55" s="707"/>
      <c r="BK55" s="707"/>
      <c r="BL55" s="707"/>
      <c r="BM55" s="707"/>
      <c r="BN55" s="707"/>
      <c r="BO55" s="707"/>
      <c r="BP55" s="707"/>
      <c r="BQ55" s="707"/>
      <c r="BR55" s="707"/>
      <c r="BS55" s="707"/>
      <c r="BT55" s="707"/>
      <c r="BU55" s="707"/>
      <c r="BV55" s="707"/>
      <c r="BW55" s="707"/>
      <c r="BX55" s="707"/>
    </row>
    <row r="56" spans="1:76" ht="13.5" customHeight="1">
      <c r="A56" s="707"/>
      <c r="B56" s="13"/>
      <c r="C56" s="434" t="s">
        <v>331</v>
      </c>
      <c r="D56" s="1149" t="s">
        <v>779</v>
      </c>
      <c r="E56" s="1149"/>
      <c r="F56" s="1149"/>
      <c r="G56" s="430" t="s">
        <v>326</v>
      </c>
      <c r="H56" s="431">
        <f>IF(DATA!S25="","",DATA!S25)</f>
      </c>
      <c r="I56" s="14"/>
      <c r="J56" s="1183"/>
      <c r="K56" s="1184"/>
      <c r="L56" s="1140"/>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c r="BA56" s="707"/>
      <c r="BB56" s="707"/>
      <c r="BC56" s="707"/>
      <c r="BD56" s="707"/>
      <c r="BE56" s="707"/>
      <c r="BF56" s="707"/>
      <c r="BG56" s="707"/>
      <c r="BH56" s="707"/>
      <c r="BI56" s="707"/>
      <c r="BJ56" s="707"/>
      <c r="BK56" s="707"/>
      <c r="BL56" s="707"/>
      <c r="BM56" s="707"/>
      <c r="BN56" s="707"/>
      <c r="BO56" s="707"/>
      <c r="BP56" s="707"/>
      <c r="BQ56" s="707"/>
      <c r="BR56" s="707"/>
      <c r="BS56" s="707"/>
      <c r="BT56" s="707"/>
      <c r="BU56" s="707"/>
      <c r="BV56" s="707"/>
      <c r="BW56" s="707"/>
      <c r="BX56" s="707"/>
    </row>
    <row r="57" spans="1:76" ht="13.5" customHeight="1">
      <c r="A57" s="707"/>
      <c r="B57" s="13"/>
      <c r="C57" s="434" t="s">
        <v>347</v>
      </c>
      <c r="D57" s="1149">
        <v>41974</v>
      </c>
      <c r="E57" s="1149"/>
      <c r="F57" s="1149"/>
      <c r="G57" s="430" t="s">
        <v>326</v>
      </c>
      <c r="H57" s="431">
        <f>IF(DATA!S26="","",DATA!S26)</f>
      </c>
      <c r="I57" s="14"/>
      <c r="J57" s="15"/>
      <c r="K57" s="16"/>
      <c r="L57" s="1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c r="BA57" s="707"/>
      <c r="BB57" s="707"/>
      <c r="BC57" s="707"/>
      <c r="BD57" s="707"/>
      <c r="BE57" s="707"/>
      <c r="BF57" s="707"/>
      <c r="BG57" s="707"/>
      <c r="BH57" s="707"/>
      <c r="BI57" s="707"/>
      <c r="BJ57" s="707"/>
      <c r="BK57" s="707"/>
      <c r="BL57" s="707"/>
      <c r="BM57" s="707"/>
      <c r="BN57" s="707"/>
      <c r="BO57" s="707"/>
      <c r="BP57" s="707"/>
      <c r="BQ57" s="707"/>
      <c r="BR57" s="707"/>
      <c r="BS57" s="707"/>
      <c r="BT57" s="707"/>
      <c r="BU57" s="707"/>
      <c r="BV57" s="707"/>
      <c r="BW57" s="707"/>
      <c r="BX57" s="707"/>
    </row>
    <row r="58" spans="1:76" ht="13.5" customHeight="1">
      <c r="A58" s="707"/>
      <c r="B58" s="13"/>
      <c r="C58" s="434" t="s">
        <v>348</v>
      </c>
      <c r="D58" s="1149">
        <v>42005</v>
      </c>
      <c r="E58" s="1149"/>
      <c r="F58" s="1149"/>
      <c r="G58" s="430" t="s">
        <v>326</v>
      </c>
      <c r="H58" s="431">
        <f>IF(DATA!S27="","",DATA!S27)</f>
      </c>
      <c r="I58" s="14"/>
      <c r="J58" s="15"/>
      <c r="K58" s="16"/>
      <c r="L58" s="1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c r="BA58" s="707"/>
      <c r="BB58" s="707"/>
      <c r="BC58" s="707"/>
      <c r="BD58" s="707"/>
      <c r="BE58" s="707"/>
      <c r="BF58" s="707"/>
      <c r="BG58" s="707"/>
      <c r="BH58" s="707"/>
      <c r="BI58" s="707"/>
      <c r="BJ58" s="707"/>
      <c r="BK58" s="707"/>
      <c r="BL58" s="707"/>
      <c r="BM58" s="707"/>
      <c r="BN58" s="707"/>
      <c r="BO58" s="707"/>
      <c r="BP58" s="707"/>
      <c r="BQ58" s="707"/>
      <c r="BR58" s="707"/>
      <c r="BS58" s="707"/>
      <c r="BT58" s="707"/>
      <c r="BU58" s="707"/>
      <c r="BV58" s="707"/>
      <c r="BW58" s="707"/>
      <c r="BX58" s="707"/>
    </row>
    <row r="59" spans="1:76" ht="13.5" customHeight="1">
      <c r="A59" s="707"/>
      <c r="B59" s="18"/>
      <c r="C59" s="435" t="s">
        <v>349</v>
      </c>
      <c r="D59" s="1126">
        <v>42036</v>
      </c>
      <c r="E59" s="1126"/>
      <c r="F59" s="1126"/>
      <c r="G59" s="430" t="s">
        <v>326</v>
      </c>
      <c r="H59" s="431">
        <f>IF(DATA!S28="","",DATA!S28)</f>
      </c>
      <c r="I59" s="19"/>
      <c r="J59" s="20"/>
      <c r="K59" s="21"/>
      <c r="L59" s="22"/>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c r="BA59" s="707"/>
      <c r="BB59" s="707"/>
      <c r="BC59" s="707"/>
      <c r="BD59" s="707"/>
      <c r="BE59" s="707"/>
      <c r="BF59" s="707"/>
      <c r="BG59" s="707"/>
      <c r="BH59" s="707"/>
      <c r="BI59" s="707"/>
      <c r="BJ59" s="707"/>
      <c r="BK59" s="707"/>
      <c r="BL59" s="707"/>
      <c r="BM59" s="707"/>
      <c r="BN59" s="707"/>
      <c r="BO59" s="707"/>
      <c r="BP59" s="707"/>
      <c r="BQ59" s="707"/>
      <c r="BR59" s="707"/>
      <c r="BS59" s="707"/>
      <c r="BT59" s="707"/>
      <c r="BU59" s="707"/>
      <c r="BV59" s="707"/>
      <c r="BW59" s="707"/>
      <c r="BX59" s="707"/>
    </row>
    <row r="60" spans="1:76" ht="18.75" customHeight="1">
      <c r="A60" s="707"/>
      <c r="B60" s="1146">
        <f>DATA!BX237</f>
      </c>
      <c r="C60" s="1147"/>
      <c r="D60" s="1147"/>
      <c r="E60" s="1147"/>
      <c r="F60" s="1147"/>
      <c r="G60" s="1147"/>
      <c r="H60" s="1147"/>
      <c r="I60" s="1147"/>
      <c r="J60" s="1147"/>
      <c r="K60" s="1147"/>
      <c r="L60" s="1148"/>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7"/>
      <c r="AO60" s="707"/>
      <c r="AP60" s="707"/>
      <c r="AQ60" s="707"/>
      <c r="AR60" s="707"/>
      <c r="AS60" s="707"/>
      <c r="AT60" s="707"/>
      <c r="AU60" s="707"/>
      <c r="AV60" s="707"/>
      <c r="AW60" s="707"/>
      <c r="AX60" s="707"/>
      <c r="AY60" s="707"/>
      <c r="AZ60" s="707"/>
      <c r="BA60" s="707"/>
      <c r="BB60" s="707"/>
      <c r="BC60" s="707"/>
      <c r="BD60" s="707"/>
      <c r="BE60" s="707"/>
      <c r="BF60" s="707"/>
      <c r="BG60" s="707"/>
      <c r="BH60" s="707"/>
      <c r="BI60" s="707"/>
      <c r="BJ60" s="707"/>
      <c r="BK60" s="707"/>
      <c r="BL60" s="707"/>
      <c r="BM60" s="707"/>
      <c r="BN60" s="707"/>
      <c r="BO60" s="707"/>
      <c r="BP60" s="707"/>
      <c r="BQ60" s="707"/>
      <c r="BR60" s="707"/>
      <c r="BS60" s="707"/>
      <c r="BT60" s="707"/>
      <c r="BU60" s="707"/>
      <c r="BV60" s="707"/>
      <c r="BW60" s="707"/>
      <c r="BX60" s="707"/>
    </row>
    <row r="61" spans="1:76" ht="13.5" customHeight="1">
      <c r="A61" s="707"/>
      <c r="B61" s="1143" t="str">
        <f>CONCATENATE("                   ",DATA!BX235)</f>
        <v>                   </v>
      </c>
      <c r="C61" s="1144"/>
      <c r="D61" s="1144"/>
      <c r="E61" s="1144"/>
      <c r="F61" s="1144"/>
      <c r="G61" s="1144"/>
      <c r="H61" s="1144"/>
      <c r="I61" s="1144"/>
      <c r="J61" s="1144"/>
      <c r="K61" s="1144"/>
      <c r="L61" s="1145"/>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7"/>
      <c r="AO61" s="707"/>
      <c r="AP61" s="707"/>
      <c r="AQ61" s="707"/>
      <c r="AR61" s="707"/>
      <c r="AS61" s="707"/>
      <c r="AT61" s="707"/>
      <c r="AU61" s="707"/>
      <c r="AV61" s="707"/>
      <c r="AW61" s="707"/>
      <c r="AX61" s="707"/>
      <c r="AY61" s="707"/>
      <c r="AZ61" s="707"/>
      <c r="BA61" s="707"/>
      <c r="BB61" s="707"/>
      <c r="BC61" s="707"/>
      <c r="BD61" s="707"/>
      <c r="BE61" s="707"/>
      <c r="BF61" s="707"/>
      <c r="BG61" s="707"/>
      <c r="BH61" s="707"/>
      <c r="BI61" s="707"/>
      <c r="BJ61" s="707"/>
      <c r="BK61" s="707"/>
      <c r="BL61" s="707"/>
      <c r="BM61" s="707"/>
      <c r="BN61" s="707"/>
      <c r="BO61" s="707"/>
      <c r="BP61" s="707"/>
      <c r="BQ61" s="707"/>
      <c r="BR61" s="707"/>
      <c r="BS61" s="707"/>
      <c r="BT61" s="707"/>
      <c r="BU61" s="707"/>
      <c r="BV61" s="707"/>
      <c r="BW61" s="707"/>
      <c r="BX61" s="707"/>
    </row>
    <row r="62" spans="1:76" ht="13.5" customHeight="1">
      <c r="A62" s="707"/>
      <c r="B62" s="1143"/>
      <c r="C62" s="1144"/>
      <c r="D62" s="1144"/>
      <c r="E62" s="1144"/>
      <c r="F62" s="1144"/>
      <c r="G62" s="1144"/>
      <c r="H62" s="1144"/>
      <c r="I62" s="1144"/>
      <c r="J62" s="1144"/>
      <c r="K62" s="1144"/>
      <c r="L62" s="1145"/>
      <c r="M62" s="707"/>
      <c r="N62" s="707"/>
      <c r="O62" s="707"/>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7"/>
      <c r="AN62" s="707"/>
      <c r="AO62" s="707"/>
      <c r="AP62" s="707"/>
      <c r="AQ62" s="707"/>
      <c r="AR62" s="707"/>
      <c r="AS62" s="707"/>
      <c r="AT62" s="707"/>
      <c r="AU62" s="707"/>
      <c r="AV62" s="707"/>
      <c r="AW62" s="707"/>
      <c r="AX62" s="707"/>
      <c r="AY62" s="707"/>
      <c r="AZ62" s="707"/>
      <c r="BA62" s="707"/>
      <c r="BB62" s="707"/>
      <c r="BC62" s="707"/>
      <c r="BD62" s="707"/>
      <c r="BE62" s="707"/>
      <c r="BF62" s="707"/>
      <c r="BG62" s="707"/>
      <c r="BH62" s="707"/>
      <c r="BI62" s="707"/>
      <c r="BJ62" s="707"/>
      <c r="BK62" s="707"/>
      <c r="BL62" s="707"/>
      <c r="BM62" s="707"/>
      <c r="BN62" s="707"/>
      <c r="BO62" s="707"/>
      <c r="BP62" s="707"/>
      <c r="BQ62" s="707"/>
      <c r="BR62" s="707"/>
      <c r="BS62" s="707"/>
      <c r="BT62" s="707"/>
      <c r="BU62" s="707"/>
      <c r="BV62" s="707"/>
      <c r="BW62" s="707"/>
      <c r="BX62" s="707"/>
    </row>
    <row r="63" spans="1:76" ht="3.75" customHeight="1">
      <c r="A63" s="707"/>
      <c r="B63" s="23"/>
      <c r="C63" s="24"/>
      <c r="D63" s="24"/>
      <c r="E63" s="24"/>
      <c r="F63" s="24"/>
      <c r="G63" s="24"/>
      <c r="H63" s="24"/>
      <c r="I63" s="24"/>
      <c r="J63" s="24"/>
      <c r="K63" s="24"/>
      <c r="L63" s="25"/>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c r="BA63" s="707"/>
      <c r="BB63" s="707"/>
      <c r="BC63" s="707"/>
      <c r="BD63" s="707"/>
      <c r="BE63" s="707"/>
      <c r="BF63" s="707"/>
      <c r="BG63" s="707"/>
      <c r="BH63" s="707"/>
      <c r="BI63" s="707"/>
      <c r="BJ63" s="707"/>
      <c r="BK63" s="707"/>
      <c r="BL63" s="707"/>
      <c r="BM63" s="707"/>
      <c r="BN63" s="707"/>
      <c r="BO63" s="707"/>
      <c r="BP63" s="707"/>
      <c r="BQ63" s="707"/>
      <c r="BR63" s="707"/>
      <c r="BS63" s="707"/>
      <c r="BT63" s="707"/>
      <c r="BU63" s="707"/>
      <c r="BV63" s="707"/>
      <c r="BW63" s="707"/>
      <c r="BX63" s="707"/>
    </row>
    <row r="64" spans="1:76" ht="13.5" customHeight="1">
      <c r="A64" s="707"/>
      <c r="B64" s="1127"/>
      <c r="C64" s="1127"/>
      <c r="D64" s="1127"/>
      <c r="E64" s="1127"/>
      <c r="F64" s="1127"/>
      <c r="G64" s="1127"/>
      <c r="H64" s="1127"/>
      <c r="I64" s="1127"/>
      <c r="J64" s="1127"/>
      <c r="K64" s="1127"/>
      <c r="L64" s="1127"/>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7"/>
      <c r="AY64" s="707"/>
      <c r="AZ64" s="707"/>
      <c r="BA64" s="707"/>
      <c r="BB64" s="707"/>
      <c r="BC64" s="707"/>
      <c r="BD64" s="707"/>
      <c r="BE64" s="707"/>
      <c r="BF64" s="707"/>
      <c r="BG64" s="707"/>
      <c r="BH64" s="707"/>
      <c r="BI64" s="707"/>
      <c r="BJ64" s="707"/>
      <c r="BK64" s="707"/>
      <c r="BL64" s="707"/>
      <c r="BM64" s="707"/>
      <c r="BN64" s="707"/>
      <c r="BO64" s="707"/>
      <c r="BP64" s="707"/>
      <c r="BQ64" s="707"/>
      <c r="BR64" s="707"/>
      <c r="BS64" s="707"/>
      <c r="BT64" s="707"/>
      <c r="BU64" s="707"/>
      <c r="BV64" s="707"/>
      <c r="BW64" s="707"/>
      <c r="BX64" s="707"/>
    </row>
    <row r="65" spans="1:76" ht="13.5" customHeight="1">
      <c r="A65" s="707"/>
      <c r="B65" s="1141" t="s">
        <v>361</v>
      </c>
      <c r="C65" s="1141"/>
      <c r="D65" s="1141"/>
      <c r="E65" s="1141"/>
      <c r="F65" s="1141"/>
      <c r="G65" s="1141"/>
      <c r="H65" s="26"/>
      <c r="I65" s="1142" t="s">
        <v>321</v>
      </c>
      <c r="J65" s="1142"/>
      <c r="K65" s="1142"/>
      <c r="L65" s="1142"/>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c r="BA65" s="707"/>
      <c r="BB65" s="707"/>
      <c r="BC65" s="707"/>
      <c r="BD65" s="707"/>
      <c r="BE65" s="707"/>
      <c r="BF65" s="707"/>
      <c r="BG65" s="707"/>
      <c r="BH65" s="707"/>
      <c r="BI65" s="707"/>
      <c r="BJ65" s="707"/>
      <c r="BK65" s="707"/>
      <c r="BL65" s="707"/>
      <c r="BM65" s="707"/>
      <c r="BN65" s="707"/>
      <c r="BO65" s="707"/>
      <c r="BP65" s="707"/>
      <c r="BQ65" s="707"/>
      <c r="BR65" s="707"/>
      <c r="BS65" s="707"/>
      <c r="BT65" s="707"/>
      <c r="BU65" s="707"/>
      <c r="BV65" s="707"/>
      <c r="BW65" s="707"/>
      <c r="BX65" s="707"/>
    </row>
    <row r="66" spans="1:76" ht="13.5" customHeight="1">
      <c r="A66" s="707"/>
      <c r="B66" s="27"/>
      <c r="C66" s="11"/>
      <c r="D66" s="11"/>
      <c r="E66" s="11"/>
      <c r="F66" s="11"/>
      <c r="G66" s="11"/>
      <c r="H66" s="11"/>
      <c r="I66" s="14"/>
      <c r="J66" s="28"/>
      <c r="K66" s="11"/>
      <c r="L66" s="29"/>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707"/>
      <c r="AR66" s="707"/>
      <c r="AS66" s="707"/>
      <c r="AT66" s="707"/>
      <c r="AU66" s="707"/>
      <c r="AV66" s="707"/>
      <c r="AW66" s="707"/>
      <c r="AX66" s="707"/>
      <c r="AY66" s="707"/>
      <c r="AZ66" s="707"/>
      <c r="BA66" s="707"/>
      <c r="BB66" s="707"/>
      <c r="BC66" s="707"/>
      <c r="BD66" s="707"/>
      <c r="BE66" s="707"/>
      <c r="BF66" s="707"/>
      <c r="BG66" s="707"/>
      <c r="BH66" s="707"/>
      <c r="BI66" s="707"/>
      <c r="BJ66" s="707"/>
      <c r="BK66" s="707"/>
      <c r="BL66" s="707"/>
      <c r="BM66" s="707"/>
      <c r="BN66" s="707"/>
      <c r="BO66" s="707"/>
      <c r="BP66" s="707"/>
      <c r="BQ66" s="707"/>
      <c r="BR66" s="707"/>
      <c r="BS66" s="707"/>
      <c r="BT66" s="707"/>
      <c r="BU66" s="707"/>
      <c r="BV66" s="707"/>
      <c r="BW66" s="707"/>
      <c r="BX66" s="707"/>
    </row>
    <row r="67" spans="1:76" ht="6" customHeight="1">
      <c r="A67" s="707"/>
      <c r="B67" s="30"/>
      <c r="C67" s="31"/>
      <c r="D67" s="31"/>
      <c r="E67" s="31"/>
      <c r="F67" s="31"/>
      <c r="G67" s="31"/>
      <c r="H67" s="31"/>
      <c r="I67" s="32"/>
      <c r="J67" s="33"/>
      <c r="K67" s="34"/>
      <c r="L67" s="35"/>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707"/>
      <c r="AZ67" s="707"/>
      <c r="BA67" s="707"/>
      <c r="BB67" s="707"/>
      <c r="BC67" s="707"/>
      <c r="BD67" s="707"/>
      <c r="BE67" s="707"/>
      <c r="BF67" s="707"/>
      <c r="BG67" s="707"/>
      <c r="BH67" s="707"/>
      <c r="BI67" s="707"/>
      <c r="BJ67" s="707"/>
      <c r="BK67" s="707"/>
      <c r="BL67" s="707"/>
      <c r="BM67" s="707"/>
      <c r="BN67" s="707"/>
      <c r="BO67" s="707"/>
      <c r="BP67" s="707"/>
      <c r="BQ67" s="707"/>
      <c r="BR67" s="707"/>
      <c r="BS67" s="707"/>
      <c r="BT67" s="707"/>
      <c r="BU67" s="707"/>
      <c r="BV67" s="707"/>
      <c r="BW67" s="707"/>
      <c r="BX67" s="707"/>
    </row>
    <row r="68" spans="1:76" ht="12" customHeight="1">
      <c r="A68" s="707"/>
      <c r="B68" s="342" t="s">
        <v>793</v>
      </c>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7"/>
      <c r="AZ68" s="707"/>
      <c r="BA68" s="707"/>
      <c r="BB68" s="707"/>
      <c r="BC68" s="707"/>
      <c r="BD68" s="707"/>
      <c r="BE68" s="707"/>
      <c r="BF68" s="707"/>
      <c r="BG68" s="707"/>
      <c r="BH68" s="707"/>
      <c r="BI68" s="707"/>
      <c r="BJ68" s="707"/>
      <c r="BK68" s="707"/>
      <c r="BL68" s="707"/>
      <c r="BM68" s="707"/>
      <c r="BN68" s="707"/>
      <c r="BO68" s="707"/>
      <c r="BP68" s="707"/>
      <c r="BQ68" s="707"/>
      <c r="BR68" s="707"/>
      <c r="BS68" s="707"/>
      <c r="BT68" s="707"/>
      <c r="BU68" s="707"/>
      <c r="BV68" s="707"/>
      <c r="BW68" s="707"/>
      <c r="BX68" s="707"/>
    </row>
    <row r="69" spans="1:76" ht="15">
      <c r="A69" s="707"/>
      <c r="B69" s="707"/>
      <c r="C69" s="707"/>
      <c r="D69" s="707"/>
      <c r="E69" s="707"/>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707"/>
      <c r="AV69" s="707"/>
      <c r="AW69" s="707"/>
      <c r="AX69" s="707"/>
      <c r="AY69" s="707"/>
      <c r="AZ69" s="707"/>
      <c r="BA69" s="707"/>
      <c r="BB69" s="707"/>
      <c r="BC69" s="707"/>
      <c r="BD69" s="707"/>
      <c r="BE69" s="707"/>
      <c r="BF69" s="707"/>
      <c r="BG69" s="707"/>
      <c r="BH69" s="707"/>
      <c r="BI69" s="707"/>
      <c r="BJ69" s="707"/>
      <c r="BK69" s="707"/>
      <c r="BL69" s="707"/>
      <c r="BM69" s="707"/>
      <c r="BN69" s="707"/>
      <c r="BO69" s="707"/>
      <c r="BP69" s="707"/>
      <c r="BQ69" s="707"/>
      <c r="BR69" s="707"/>
      <c r="BS69" s="707"/>
      <c r="BT69" s="707"/>
      <c r="BU69" s="707"/>
      <c r="BV69" s="707"/>
      <c r="BW69" s="707"/>
      <c r="BX69" s="707"/>
    </row>
    <row r="70" spans="1:76" ht="15">
      <c r="A70" s="707"/>
      <c r="B70" s="707"/>
      <c r="C70" s="707"/>
      <c r="D70" s="707"/>
      <c r="E70" s="707"/>
      <c r="F70" s="707"/>
      <c r="G70" s="707"/>
      <c r="H70" s="707"/>
      <c r="I70" s="707"/>
      <c r="J70" s="707"/>
      <c r="K70" s="707"/>
      <c r="L70" s="707"/>
      <c r="M70" s="707"/>
      <c r="N70" s="707"/>
      <c r="O70" s="707"/>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7"/>
      <c r="AO70" s="707"/>
      <c r="AP70" s="707"/>
      <c r="AQ70" s="707"/>
      <c r="AR70" s="707"/>
      <c r="AS70" s="707"/>
      <c r="AT70" s="707"/>
      <c r="AU70" s="707"/>
      <c r="AV70" s="707"/>
      <c r="AW70" s="707"/>
      <c r="AX70" s="707"/>
      <c r="AY70" s="707"/>
      <c r="AZ70" s="707"/>
      <c r="BA70" s="707"/>
      <c r="BB70" s="707"/>
      <c r="BC70" s="707"/>
      <c r="BD70" s="707"/>
      <c r="BE70" s="707"/>
      <c r="BF70" s="707"/>
      <c r="BG70" s="707"/>
      <c r="BH70" s="707"/>
      <c r="BI70" s="707"/>
      <c r="BJ70" s="707"/>
      <c r="BK70" s="707"/>
      <c r="BL70" s="707"/>
      <c r="BM70" s="707"/>
      <c r="BN70" s="707"/>
      <c r="BO70" s="707"/>
      <c r="BP70" s="707"/>
      <c r="BQ70" s="707"/>
      <c r="BR70" s="707"/>
      <c r="BS70" s="707"/>
      <c r="BT70" s="707"/>
      <c r="BU70" s="707"/>
      <c r="BV70" s="707"/>
      <c r="BW70" s="707"/>
      <c r="BX70" s="707"/>
    </row>
    <row r="71" spans="1:76" ht="15">
      <c r="A71" s="707"/>
      <c r="B71" s="707"/>
      <c r="C71" s="707"/>
      <c r="D71" s="707"/>
      <c r="E71" s="707"/>
      <c r="F71" s="707"/>
      <c r="G71" s="707"/>
      <c r="H71" s="707"/>
      <c r="I71" s="707"/>
      <c r="J71" s="707"/>
      <c r="K71" s="707"/>
      <c r="L71" s="707"/>
      <c r="M71" s="707"/>
      <c r="N71" s="707"/>
      <c r="O71" s="707"/>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7"/>
      <c r="AO71" s="707"/>
      <c r="AP71" s="707"/>
      <c r="AQ71" s="707"/>
      <c r="AR71" s="707"/>
      <c r="AS71" s="707"/>
      <c r="AT71" s="707"/>
      <c r="AU71" s="707"/>
      <c r="AV71" s="707"/>
      <c r="AW71" s="707"/>
      <c r="AX71" s="707"/>
      <c r="AY71" s="707"/>
      <c r="AZ71" s="707"/>
      <c r="BA71" s="707"/>
      <c r="BB71" s="707"/>
      <c r="BC71" s="707"/>
      <c r="BD71" s="707"/>
      <c r="BE71" s="707"/>
      <c r="BF71" s="707"/>
      <c r="BG71" s="707"/>
      <c r="BH71" s="707"/>
      <c r="BI71" s="707"/>
      <c r="BJ71" s="707"/>
      <c r="BK71" s="707"/>
      <c r="BL71" s="707"/>
      <c r="BM71" s="707"/>
      <c r="BN71" s="707"/>
      <c r="BO71" s="707"/>
      <c r="BP71" s="707"/>
      <c r="BQ71" s="707"/>
      <c r="BR71" s="707"/>
      <c r="BS71" s="707"/>
      <c r="BT71" s="707"/>
      <c r="BU71" s="707"/>
      <c r="BV71" s="707"/>
      <c r="BW71" s="707"/>
      <c r="BX71" s="707"/>
    </row>
    <row r="72" spans="1:76" ht="15">
      <c r="A72" s="707"/>
      <c r="B72" s="707"/>
      <c r="C72" s="707"/>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c r="BA72" s="707"/>
      <c r="BB72" s="707"/>
      <c r="BC72" s="707"/>
      <c r="BD72" s="707"/>
      <c r="BE72" s="707"/>
      <c r="BF72" s="707"/>
      <c r="BG72" s="707"/>
      <c r="BH72" s="707"/>
      <c r="BI72" s="707"/>
      <c r="BJ72" s="707"/>
      <c r="BK72" s="707"/>
      <c r="BL72" s="707"/>
      <c r="BM72" s="707"/>
      <c r="BN72" s="707"/>
      <c r="BO72" s="707"/>
      <c r="BP72" s="707"/>
      <c r="BQ72" s="707"/>
      <c r="BR72" s="707"/>
      <c r="BS72" s="707"/>
      <c r="BT72" s="707"/>
      <c r="BU72" s="707"/>
      <c r="BV72" s="707"/>
      <c r="BW72" s="707"/>
      <c r="BX72" s="707"/>
    </row>
    <row r="73" spans="1:76" ht="15">
      <c r="A73" s="707"/>
      <c r="B73" s="707"/>
      <c r="C73" s="707"/>
      <c r="D73" s="707"/>
      <c r="E73" s="707"/>
      <c r="F73" s="707"/>
      <c r="G73" s="707"/>
      <c r="H73" s="707"/>
      <c r="I73" s="707"/>
      <c r="J73" s="707"/>
      <c r="K73" s="707"/>
      <c r="L73" s="707"/>
      <c r="M73" s="707"/>
      <c r="N73" s="707"/>
      <c r="O73" s="707"/>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c r="BA73" s="707"/>
      <c r="BB73" s="707"/>
      <c r="BC73" s="707"/>
      <c r="BD73" s="707"/>
      <c r="BE73" s="707"/>
      <c r="BF73" s="707"/>
      <c r="BG73" s="707"/>
      <c r="BH73" s="707"/>
      <c r="BI73" s="707"/>
      <c r="BJ73" s="707"/>
      <c r="BK73" s="707"/>
      <c r="BL73" s="707"/>
      <c r="BM73" s="707"/>
      <c r="BN73" s="707"/>
      <c r="BO73" s="707"/>
      <c r="BP73" s="707"/>
      <c r="BQ73" s="707"/>
      <c r="BR73" s="707"/>
      <c r="BS73" s="707"/>
      <c r="BT73" s="707"/>
      <c r="BU73" s="707"/>
      <c r="BV73" s="707"/>
      <c r="BW73" s="707"/>
      <c r="BX73" s="707"/>
    </row>
    <row r="74" spans="1:76" ht="15">
      <c r="A74" s="707"/>
      <c r="B74" s="707"/>
      <c r="C74" s="707"/>
      <c r="D74" s="707"/>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c r="BA74" s="707"/>
      <c r="BB74" s="707"/>
      <c r="BC74" s="707"/>
      <c r="BD74" s="707"/>
      <c r="BE74" s="707"/>
      <c r="BF74" s="707"/>
      <c r="BG74" s="707"/>
      <c r="BH74" s="707"/>
      <c r="BI74" s="707"/>
      <c r="BJ74" s="707"/>
      <c r="BK74" s="707"/>
      <c r="BL74" s="707"/>
      <c r="BM74" s="707"/>
      <c r="BN74" s="707"/>
      <c r="BO74" s="707"/>
      <c r="BP74" s="707"/>
      <c r="BQ74" s="707"/>
      <c r="BR74" s="707"/>
      <c r="BS74" s="707"/>
      <c r="BT74" s="707"/>
      <c r="BU74" s="707"/>
      <c r="BV74" s="707"/>
      <c r="BW74" s="707"/>
      <c r="BX74" s="707"/>
    </row>
    <row r="75" spans="1:76" ht="15">
      <c r="A75" s="707"/>
      <c r="B75" s="707"/>
      <c r="C75" s="707"/>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707"/>
      <c r="AZ75" s="707"/>
      <c r="BA75" s="707"/>
      <c r="BB75" s="707"/>
      <c r="BC75" s="707"/>
      <c r="BD75" s="707"/>
      <c r="BE75" s="707"/>
      <c r="BF75" s="707"/>
      <c r="BG75" s="707"/>
      <c r="BH75" s="707"/>
      <c r="BI75" s="707"/>
      <c r="BJ75" s="707"/>
      <c r="BK75" s="707"/>
      <c r="BL75" s="707"/>
      <c r="BM75" s="707"/>
      <c r="BN75" s="707"/>
      <c r="BO75" s="707"/>
      <c r="BP75" s="707"/>
      <c r="BQ75" s="707"/>
      <c r="BR75" s="707"/>
      <c r="BS75" s="707"/>
      <c r="BT75" s="707"/>
      <c r="BU75" s="707"/>
      <c r="BV75" s="707"/>
      <c r="BW75" s="707"/>
      <c r="BX75" s="707"/>
    </row>
    <row r="76" spans="1:76" ht="15">
      <c r="A76" s="707"/>
      <c r="B76" s="707"/>
      <c r="C76" s="707"/>
      <c r="D76" s="707"/>
      <c r="E76" s="707"/>
      <c r="F76" s="707"/>
      <c r="G76" s="707"/>
      <c r="H76" s="707"/>
      <c r="I76" s="707"/>
      <c r="J76" s="707"/>
      <c r="K76" s="707"/>
      <c r="L76" s="707"/>
      <c r="M76" s="707"/>
      <c r="N76" s="707"/>
      <c r="O76" s="707"/>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7"/>
      <c r="AO76" s="707"/>
      <c r="AP76" s="707"/>
      <c r="AQ76" s="707"/>
      <c r="AR76" s="707"/>
      <c r="AS76" s="707"/>
      <c r="AT76" s="707"/>
      <c r="AU76" s="707"/>
      <c r="AV76" s="707"/>
      <c r="AW76" s="707"/>
      <c r="AX76" s="707"/>
      <c r="AY76" s="707"/>
      <c r="AZ76" s="707"/>
      <c r="BA76" s="707"/>
      <c r="BB76" s="707"/>
      <c r="BC76" s="707"/>
      <c r="BD76" s="707"/>
      <c r="BE76" s="707"/>
      <c r="BF76" s="707"/>
      <c r="BG76" s="707"/>
      <c r="BH76" s="707"/>
      <c r="BI76" s="707"/>
      <c r="BJ76" s="707"/>
      <c r="BK76" s="707"/>
      <c r="BL76" s="707"/>
      <c r="BM76" s="707"/>
      <c r="BN76" s="707"/>
      <c r="BO76" s="707"/>
      <c r="BP76" s="707"/>
      <c r="BQ76" s="707"/>
      <c r="BR76" s="707"/>
      <c r="BS76" s="707"/>
      <c r="BT76" s="707"/>
      <c r="BU76" s="707"/>
      <c r="BV76" s="707"/>
      <c r="BW76" s="707"/>
      <c r="BX76" s="707"/>
    </row>
    <row r="77" spans="1:76" ht="15">
      <c r="A77" s="707"/>
      <c r="B77" s="707"/>
      <c r="C77" s="707"/>
      <c r="D77" s="707"/>
      <c r="E77" s="707"/>
      <c r="F77" s="707"/>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7"/>
      <c r="AS77" s="707"/>
      <c r="AT77" s="707"/>
      <c r="AU77" s="707"/>
      <c r="AV77" s="707"/>
      <c r="AW77" s="707"/>
      <c r="AX77" s="707"/>
      <c r="AY77" s="707"/>
      <c r="AZ77" s="707"/>
      <c r="BA77" s="707"/>
      <c r="BB77" s="707"/>
      <c r="BC77" s="707"/>
      <c r="BD77" s="707"/>
      <c r="BE77" s="707"/>
      <c r="BF77" s="707"/>
      <c r="BG77" s="707"/>
      <c r="BH77" s="707"/>
      <c r="BI77" s="707"/>
      <c r="BJ77" s="707"/>
      <c r="BK77" s="707"/>
      <c r="BL77" s="707"/>
      <c r="BM77" s="707"/>
      <c r="BN77" s="707"/>
      <c r="BO77" s="707"/>
      <c r="BP77" s="707"/>
      <c r="BQ77" s="707"/>
      <c r="BR77" s="707"/>
      <c r="BS77" s="707"/>
      <c r="BT77" s="707"/>
      <c r="BU77" s="707"/>
      <c r="BV77" s="707"/>
      <c r="BW77" s="707"/>
      <c r="BX77" s="707"/>
    </row>
    <row r="78" spans="1:76" ht="15">
      <c r="A78" s="707"/>
      <c r="B78" s="707"/>
      <c r="C78" s="707"/>
      <c r="D78" s="707"/>
      <c r="E78" s="707"/>
      <c r="F78" s="707"/>
      <c r="G78" s="707"/>
      <c r="H78" s="707"/>
      <c r="I78" s="707"/>
      <c r="J78" s="707"/>
      <c r="K78" s="707"/>
      <c r="L78" s="707"/>
      <c r="M78" s="707"/>
      <c r="N78" s="707"/>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7"/>
      <c r="AY78" s="707"/>
      <c r="AZ78" s="707"/>
      <c r="BA78" s="707"/>
      <c r="BB78" s="707"/>
      <c r="BC78" s="707"/>
      <c r="BD78" s="707"/>
      <c r="BE78" s="707"/>
      <c r="BF78" s="707"/>
      <c r="BG78" s="707"/>
      <c r="BH78" s="707"/>
      <c r="BI78" s="707"/>
      <c r="BJ78" s="707"/>
      <c r="BK78" s="707"/>
      <c r="BL78" s="707"/>
      <c r="BM78" s="707"/>
      <c r="BN78" s="707"/>
      <c r="BO78" s="707"/>
      <c r="BP78" s="707"/>
      <c r="BQ78" s="707"/>
      <c r="BR78" s="707"/>
      <c r="BS78" s="707"/>
      <c r="BT78" s="707"/>
      <c r="BU78" s="707"/>
      <c r="BV78" s="707"/>
      <c r="BW78" s="707"/>
      <c r="BX78" s="707"/>
    </row>
    <row r="79" spans="1:76" ht="15">
      <c r="A79" s="707"/>
      <c r="B79" s="707"/>
      <c r="C79" s="707"/>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707"/>
      <c r="AP79" s="707"/>
      <c r="AQ79" s="707"/>
      <c r="AR79" s="707"/>
      <c r="AS79" s="707"/>
      <c r="AT79" s="707"/>
      <c r="AU79" s="707"/>
      <c r="AV79" s="707"/>
      <c r="AW79" s="707"/>
      <c r="AX79" s="707"/>
      <c r="AY79" s="707"/>
      <c r="AZ79" s="707"/>
      <c r="BA79" s="707"/>
      <c r="BB79" s="707"/>
      <c r="BC79" s="707"/>
      <c r="BD79" s="707"/>
      <c r="BE79" s="707"/>
      <c r="BF79" s="707"/>
      <c r="BG79" s="707"/>
      <c r="BH79" s="707"/>
      <c r="BI79" s="707"/>
      <c r="BJ79" s="707"/>
      <c r="BK79" s="707"/>
      <c r="BL79" s="707"/>
      <c r="BM79" s="707"/>
      <c r="BN79" s="707"/>
      <c r="BO79" s="707"/>
      <c r="BP79" s="707"/>
      <c r="BQ79" s="707"/>
      <c r="BR79" s="707"/>
      <c r="BS79" s="707"/>
      <c r="BT79" s="707"/>
      <c r="BU79" s="707"/>
      <c r="BV79" s="707"/>
      <c r="BW79" s="707"/>
      <c r="BX79" s="707"/>
    </row>
    <row r="80" spans="1:76" ht="15">
      <c r="A80" s="707"/>
      <c r="B80" s="707"/>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7"/>
      <c r="AI80" s="707"/>
      <c r="AJ80" s="707"/>
      <c r="AK80" s="707"/>
      <c r="AL80" s="707"/>
      <c r="AM80" s="707"/>
      <c r="AN80" s="707"/>
      <c r="AO80" s="707"/>
      <c r="AP80" s="707"/>
      <c r="AQ80" s="707"/>
      <c r="AR80" s="707"/>
      <c r="AS80" s="707"/>
      <c r="AT80" s="707"/>
      <c r="AU80" s="707"/>
      <c r="AV80" s="707"/>
      <c r="AW80" s="707"/>
      <c r="AX80" s="707"/>
      <c r="AY80" s="707"/>
      <c r="AZ80" s="707"/>
      <c r="BA80" s="707"/>
      <c r="BB80" s="707"/>
      <c r="BC80" s="707"/>
      <c r="BD80" s="707"/>
      <c r="BE80" s="707"/>
      <c r="BF80" s="707"/>
      <c r="BG80" s="707"/>
      <c r="BH80" s="707"/>
      <c r="BI80" s="707"/>
      <c r="BJ80" s="707"/>
      <c r="BK80" s="707"/>
      <c r="BL80" s="707"/>
      <c r="BM80" s="707"/>
      <c r="BN80" s="707"/>
      <c r="BO80" s="707"/>
      <c r="BP80" s="707"/>
      <c r="BQ80" s="707"/>
      <c r="BR80" s="707"/>
      <c r="BS80" s="707"/>
      <c r="BT80" s="707"/>
      <c r="BU80" s="707"/>
      <c r="BV80" s="707"/>
      <c r="BW80" s="707"/>
      <c r="BX80" s="707"/>
    </row>
    <row r="81" spans="1:76" ht="15">
      <c r="A81" s="707"/>
      <c r="B81" s="707"/>
      <c r="C81" s="707"/>
      <c r="D81" s="707"/>
      <c r="E81" s="707"/>
      <c r="F81" s="707"/>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7"/>
      <c r="AO81" s="707"/>
      <c r="AP81" s="707"/>
      <c r="AQ81" s="707"/>
      <c r="AR81" s="707"/>
      <c r="AS81" s="707"/>
      <c r="AT81" s="707"/>
      <c r="AU81" s="707"/>
      <c r="AV81" s="707"/>
      <c r="AW81" s="707"/>
      <c r="AX81" s="707"/>
      <c r="AY81" s="707"/>
      <c r="AZ81" s="707"/>
      <c r="BA81" s="707"/>
      <c r="BB81" s="707"/>
      <c r="BC81" s="707"/>
      <c r="BD81" s="707"/>
      <c r="BE81" s="707"/>
      <c r="BF81" s="707"/>
      <c r="BG81" s="707"/>
      <c r="BH81" s="707"/>
      <c r="BI81" s="707"/>
      <c r="BJ81" s="707"/>
      <c r="BK81" s="707"/>
      <c r="BL81" s="707"/>
      <c r="BM81" s="707"/>
      <c r="BN81" s="707"/>
      <c r="BO81" s="707"/>
      <c r="BP81" s="707"/>
      <c r="BQ81" s="707"/>
      <c r="BR81" s="707"/>
      <c r="BS81" s="707"/>
      <c r="BT81" s="707"/>
      <c r="BU81" s="707"/>
      <c r="BV81" s="707"/>
      <c r="BW81" s="707"/>
      <c r="BX81" s="707"/>
    </row>
    <row r="82" spans="1:76" ht="15">
      <c r="A82" s="707"/>
      <c r="B82" s="707"/>
      <c r="C82" s="707"/>
      <c r="D82" s="707"/>
      <c r="E82" s="707"/>
      <c r="F82" s="707"/>
      <c r="G82" s="707"/>
      <c r="H82" s="707"/>
      <c r="I82" s="707"/>
      <c r="J82" s="707"/>
      <c r="K82" s="707"/>
      <c r="L82" s="707"/>
      <c r="M82" s="707"/>
      <c r="N82" s="707"/>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707"/>
      <c r="AY82" s="707"/>
      <c r="AZ82" s="707"/>
      <c r="BA82" s="707"/>
      <c r="BB82" s="707"/>
      <c r="BC82" s="707"/>
      <c r="BD82" s="707"/>
      <c r="BE82" s="707"/>
      <c r="BF82" s="707"/>
      <c r="BG82" s="707"/>
      <c r="BH82" s="707"/>
      <c r="BI82" s="707"/>
      <c r="BJ82" s="707"/>
      <c r="BK82" s="707"/>
      <c r="BL82" s="707"/>
      <c r="BM82" s="707"/>
      <c r="BN82" s="707"/>
      <c r="BO82" s="707"/>
      <c r="BP82" s="707"/>
      <c r="BQ82" s="707"/>
      <c r="BR82" s="707"/>
      <c r="BS82" s="707"/>
      <c r="BT82" s="707"/>
      <c r="BU82" s="707"/>
      <c r="BV82" s="707"/>
      <c r="BW82" s="707"/>
      <c r="BX82" s="707"/>
    </row>
    <row r="83" spans="1:76" ht="15">
      <c r="A83" s="707"/>
      <c r="B83" s="707"/>
      <c r="C83" s="707"/>
      <c r="D83" s="707"/>
      <c r="E83" s="707"/>
      <c r="F83" s="707"/>
      <c r="G83" s="707"/>
      <c r="H83" s="707"/>
      <c r="I83" s="707"/>
      <c r="J83" s="707"/>
      <c r="K83" s="707"/>
      <c r="L83" s="707"/>
      <c r="M83" s="707"/>
      <c r="N83" s="707"/>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707"/>
      <c r="AY83" s="707"/>
      <c r="AZ83" s="707"/>
      <c r="BA83" s="707"/>
      <c r="BB83" s="707"/>
      <c r="BC83" s="707"/>
      <c r="BD83" s="707"/>
      <c r="BE83" s="707"/>
      <c r="BF83" s="707"/>
      <c r="BG83" s="707"/>
      <c r="BH83" s="707"/>
      <c r="BI83" s="707"/>
      <c r="BJ83" s="707"/>
      <c r="BK83" s="707"/>
      <c r="BL83" s="707"/>
      <c r="BM83" s="707"/>
      <c r="BN83" s="707"/>
      <c r="BO83" s="707"/>
      <c r="BP83" s="707"/>
      <c r="BQ83" s="707"/>
      <c r="BR83" s="707"/>
      <c r="BS83" s="707"/>
      <c r="BT83" s="707"/>
      <c r="BU83" s="707"/>
      <c r="BV83" s="707"/>
      <c r="BW83" s="707"/>
      <c r="BX83" s="707"/>
    </row>
    <row r="84" spans="1:76" ht="15">
      <c r="A84" s="707"/>
      <c r="B84" s="707"/>
      <c r="C84" s="707"/>
      <c r="D84" s="707"/>
      <c r="E84" s="707"/>
      <c r="F84" s="707"/>
      <c r="G84" s="707"/>
      <c r="H84" s="707"/>
      <c r="I84" s="707"/>
      <c r="J84" s="707"/>
      <c r="K84" s="707"/>
      <c r="L84" s="707"/>
      <c r="M84" s="707"/>
      <c r="N84" s="707"/>
      <c r="O84" s="707"/>
      <c r="P84" s="707"/>
      <c r="Q84" s="707"/>
      <c r="R84" s="707"/>
      <c r="S84" s="707"/>
      <c r="T84" s="707"/>
      <c r="U84" s="707"/>
      <c r="V84" s="707"/>
      <c r="W84" s="707"/>
      <c r="X84" s="707"/>
      <c r="Y84" s="707"/>
      <c r="Z84" s="707"/>
      <c r="AA84" s="707"/>
      <c r="AB84" s="707"/>
      <c r="AC84" s="707"/>
      <c r="AD84" s="707"/>
      <c r="AE84" s="707"/>
      <c r="AF84" s="707"/>
      <c r="AG84" s="707"/>
      <c r="AH84" s="707"/>
      <c r="AI84" s="707"/>
      <c r="AJ84" s="707"/>
      <c r="AK84" s="707"/>
      <c r="AL84" s="707"/>
      <c r="AM84" s="707"/>
      <c r="AN84" s="707"/>
      <c r="AO84" s="707"/>
      <c r="AP84" s="707"/>
      <c r="AQ84" s="707"/>
      <c r="AR84" s="707"/>
      <c r="AS84" s="707"/>
      <c r="AT84" s="707"/>
      <c r="AU84" s="707"/>
      <c r="AV84" s="707"/>
      <c r="AW84" s="707"/>
      <c r="AX84" s="707"/>
      <c r="AY84" s="707"/>
      <c r="AZ84" s="707"/>
      <c r="BA84" s="707"/>
      <c r="BB84" s="707"/>
      <c r="BC84" s="707"/>
      <c r="BD84" s="707"/>
      <c r="BE84" s="707"/>
      <c r="BF84" s="707"/>
      <c r="BG84" s="707"/>
      <c r="BH84" s="707"/>
      <c r="BI84" s="707"/>
      <c r="BJ84" s="707"/>
      <c r="BK84" s="707"/>
      <c r="BL84" s="707"/>
      <c r="BM84" s="707"/>
      <c r="BN84" s="707"/>
      <c r="BO84" s="707"/>
      <c r="BP84" s="707"/>
      <c r="BQ84" s="707"/>
      <c r="BR84" s="707"/>
      <c r="BS84" s="707"/>
      <c r="BT84" s="707"/>
      <c r="BU84" s="707"/>
      <c r="BV84" s="707"/>
      <c r="BW84" s="707"/>
      <c r="BX84" s="707"/>
    </row>
    <row r="85" spans="1:76" ht="15">
      <c r="A85" s="707"/>
      <c r="B85" s="707"/>
      <c r="C85" s="707"/>
      <c r="D85" s="707"/>
      <c r="E85" s="707"/>
      <c r="F85" s="707"/>
      <c r="G85" s="707"/>
      <c r="H85" s="707"/>
      <c r="I85" s="707"/>
      <c r="J85" s="707"/>
      <c r="K85" s="707"/>
      <c r="L85" s="707"/>
      <c r="M85" s="707"/>
      <c r="N85" s="707"/>
      <c r="O85" s="707"/>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07"/>
      <c r="AY85" s="707"/>
      <c r="AZ85" s="707"/>
      <c r="BA85" s="707"/>
      <c r="BB85" s="707"/>
      <c r="BC85" s="707"/>
      <c r="BD85" s="707"/>
      <c r="BE85" s="707"/>
      <c r="BF85" s="707"/>
      <c r="BG85" s="707"/>
      <c r="BH85" s="707"/>
      <c r="BI85" s="707"/>
      <c r="BJ85" s="707"/>
      <c r="BK85" s="707"/>
      <c r="BL85" s="707"/>
      <c r="BM85" s="707"/>
      <c r="BN85" s="707"/>
      <c r="BO85" s="707"/>
      <c r="BP85" s="707"/>
      <c r="BQ85" s="707"/>
      <c r="BR85" s="707"/>
      <c r="BS85" s="707"/>
      <c r="BT85" s="707"/>
      <c r="BU85" s="707"/>
      <c r="BV85" s="707"/>
      <c r="BW85" s="707"/>
      <c r="BX85" s="707"/>
    </row>
    <row r="86" spans="1:76" ht="15">
      <c r="A86" s="707"/>
      <c r="B86" s="707"/>
      <c r="C86" s="707"/>
      <c r="D86" s="707"/>
      <c r="E86" s="707"/>
      <c r="F86" s="707"/>
      <c r="G86" s="707"/>
      <c r="H86" s="707"/>
      <c r="I86" s="707"/>
      <c r="J86" s="707"/>
      <c r="K86" s="707"/>
      <c r="L86" s="707"/>
      <c r="M86" s="707"/>
      <c r="N86" s="707"/>
      <c r="O86" s="707"/>
      <c r="P86" s="707"/>
      <c r="Q86" s="707"/>
      <c r="R86" s="707"/>
      <c r="S86" s="707"/>
      <c r="T86" s="707"/>
      <c r="U86" s="707"/>
      <c r="V86" s="707"/>
      <c r="W86" s="707"/>
      <c r="X86" s="707"/>
      <c r="Y86" s="707"/>
      <c r="Z86" s="707"/>
      <c r="AA86" s="707"/>
      <c r="AB86" s="707"/>
      <c r="AC86" s="707"/>
      <c r="AD86" s="707"/>
      <c r="AE86" s="707"/>
      <c r="AF86" s="707"/>
      <c r="AG86" s="707"/>
      <c r="AH86" s="707"/>
      <c r="AI86" s="707"/>
      <c r="AJ86" s="707"/>
      <c r="AK86" s="707"/>
      <c r="AL86" s="707"/>
      <c r="AM86" s="707"/>
      <c r="AN86" s="707"/>
      <c r="AO86" s="707"/>
      <c r="AP86" s="707"/>
      <c r="AQ86" s="707"/>
      <c r="AR86" s="707"/>
      <c r="AS86" s="707"/>
      <c r="AT86" s="707"/>
      <c r="AU86" s="707"/>
      <c r="AV86" s="707"/>
      <c r="AW86" s="707"/>
      <c r="AX86" s="707"/>
      <c r="AY86" s="707"/>
      <c r="AZ86" s="707"/>
      <c r="BA86" s="707"/>
      <c r="BB86" s="707"/>
      <c r="BC86" s="707"/>
      <c r="BD86" s="707"/>
      <c r="BE86" s="707"/>
      <c r="BF86" s="707"/>
      <c r="BG86" s="707"/>
      <c r="BH86" s="707"/>
      <c r="BI86" s="707"/>
      <c r="BJ86" s="707"/>
      <c r="BK86" s="707"/>
      <c r="BL86" s="707"/>
      <c r="BM86" s="707"/>
      <c r="BN86" s="707"/>
      <c r="BO86" s="707"/>
      <c r="BP86" s="707"/>
      <c r="BQ86" s="707"/>
      <c r="BR86" s="707"/>
      <c r="BS86" s="707"/>
      <c r="BT86" s="707"/>
      <c r="BU86" s="707"/>
      <c r="BV86" s="707"/>
      <c r="BW86" s="707"/>
      <c r="BX86" s="707"/>
    </row>
    <row r="87" spans="1:76" ht="15">
      <c r="A87" s="707"/>
      <c r="B87" s="707"/>
      <c r="C87" s="707"/>
      <c r="D87" s="707"/>
      <c r="E87" s="707"/>
      <c r="F87" s="707"/>
      <c r="G87" s="707"/>
      <c r="H87" s="707"/>
      <c r="I87" s="707"/>
      <c r="J87" s="707"/>
      <c r="K87" s="707"/>
      <c r="L87" s="707"/>
      <c r="M87" s="707"/>
      <c r="N87" s="707"/>
      <c r="O87" s="707"/>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7"/>
      <c r="AO87" s="707"/>
      <c r="AP87" s="707"/>
      <c r="AQ87" s="707"/>
      <c r="AR87" s="707"/>
      <c r="AS87" s="707"/>
      <c r="AT87" s="707"/>
      <c r="AU87" s="707"/>
      <c r="AV87" s="707"/>
      <c r="AW87" s="707"/>
      <c r="AX87" s="707"/>
      <c r="AY87" s="707"/>
      <c r="AZ87" s="707"/>
      <c r="BA87" s="707"/>
      <c r="BB87" s="707"/>
      <c r="BC87" s="707"/>
      <c r="BD87" s="707"/>
      <c r="BE87" s="707"/>
      <c r="BF87" s="707"/>
      <c r="BG87" s="707"/>
      <c r="BH87" s="707"/>
      <c r="BI87" s="707"/>
      <c r="BJ87" s="707"/>
      <c r="BK87" s="707"/>
      <c r="BL87" s="707"/>
      <c r="BM87" s="707"/>
      <c r="BN87" s="707"/>
      <c r="BO87" s="707"/>
      <c r="BP87" s="707"/>
      <c r="BQ87" s="707"/>
      <c r="BR87" s="707"/>
      <c r="BS87" s="707"/>
      <c r="BT87" s="707"/>
      <c r="BU87" s="707"/>
      <c r="BV87" s="707"/>
      <c r="BW87" s="707"/>
      <c r="BX87" s="707"/>
    </row>
    <row r="88" spans="1:76" ht="15">
      <c r="A88" s="707"/>
      <c r="B88" s="707"/>
      <c r="C88" s="707"/>
      <c r="D88" s="707"/>
      <c r="E88" s="707"/>
      <c r="F88" s="707"/>
      <c r="G88" s="707"/>
      <c r="H88" s="707"/>
      <c r="I88" s="707"/>
      <c r="J88" s="707"/>
      <c r="K88" s="707"/>
      <c r="L88" s="707"/>
      <c r="M88" s="707"/>
      <c r="N88" s="707"/>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7"/>
      <c r="AY88" s="707"/>
      <c r="AZ88" s="707"/>
      <c r="BA88" s="707"/>
      <c r="BB88" s="707"/>
      <c r="BC88" s="707"/>
      <c r="BD88" s="707"/>
      <c r="BE88" s="707"/>
      <c r="BF88" s="707"/>
      <c r="BG88" s="707"/>
      <c r="BH88" s="707"/>
      <c r="BI88" s="707"/>
      <c r="BJ88" s="707"/>
      <c r="BK88" s="707"/>
      <c r="BL88" s="707"/>
      <c r="BM88" s="707"/>
      <c r="BN88" s="707"/>
      <c r="BO88" s="707"/>
      <c r="BP88" s="707"/>
      <c r="BQ88" s="707"/>
      <c r="BR88" s="707"/>
      <c r="BS88" s="707"/>
      <c r="BT88" s="707"/>
      <c r="BU88" s="707"/>
      <c r="BV88" s="707"/>
      <c r="BW88" s="707"/>
      <c r="BX88" s="707"/>
    </row>
    <row r="89" spans="1:76" ht="15">
      <c r="A89" s="707"/>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c r="Z89" s="707"/>
      <c r="AA89" s="707"/>
      <c r="AB89" s="707"/>
      <c r="AC89" s="707"/>
      <c r="AD89" s="707"/>
      <c r="AE89" s="707"/>
      <c r="AF89" s="707"/>
      <c r="AG89" s="707"/>
      <c r="AH89" s="707"/>
      <c r="AI89" s="707"/>
      <c r="AJ89" s="707"/>
      <c r="AK89" s="707"/>
      <c r="AL89" s="707"/>
      <c r="AM89" s="707"/>
      <c r="AN89" s="707"/>
      <c r="AO89" s="707"/>
      <c r="AP89" s="707"/>
      <c r="AQ89" s="707"/>
      <c r="AR89" s="707"/>
      <c r="AS89" s="707"/>
      <c r="AT89" s="707"/>
      <c r="AU89" s="707"/>
      <c r="AV89" s="707"/>
      <c r="AW89" s="707"/>
      <c r="AX89" s="707"/>
      <c r="AY89" s="707"/>
      <c r="AZ89" s="707"/>
      <c r="BA89" s="707"/>
      <c r="BB89" s="707"/>
      <c r="BC89" s="707"/>
      <c r="BD89" s="707"/>
      <c r="BE89" s="707"/>
      <c r="BF89" s="707"/>
      <c r="BG89" s="707"/>
      <c r="BH89" s="707"/>
      <c r="BI89" s="707"/>
      <c r="BJ89" s="707"/>
      <c r="BK89" s="707"/>
      <c r="BL89" s="707"/>
      <c r="BM89" s="707"/>
      <c r="BN89" s="707"/>
      <c r="BO89" s="707"/>
      <c r="BP89" s="707"/>
      <c r="BQ89" s="707"/>
      <c r="BR89" s="707"/>
      <c r="BS89" s="707"/>
      <c r="BT89" s="707"/>
      <c r="BU89" s="707"/>
      <c r="BV89" s="707"/>
      <c r="BW89" s="707"/>
      <c r="BX89" s="707"/>
    </row>
    <row r="90" spans="1:76" ht="15">
      <c r="A90" s="707"/>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c r="Z90" s="707"/>
      <c r="AA90" s="707"/>
      <c r="AB90" s="707"/>
      <c r="AC90" s="707"/>
      <c r="AD90" s="707"/>
      <c r="AE90" s="707"/>
      <c r="AF90" s="707"/>
      <c r="AG90" s="707"/>
      <c r="AH90" s="707"/>
      <c r="AI90" s="707"/>
      <c r="AJ90" s="707"/>
      <c r="AK90" s="707"/>
      <c r="AL90" s="707"/>
      <c r="AM90" s="707"/>
      <c r="AN90" s="707"/>
      <c r="AO90" s="707"/>
      <c r="AP90" s="707"/>
      <c r="AQ90" s="707"/>
      <c r="AR90" s="707"/>
      <c r="AS90" s="707"/>
      <c r="AT90" s="707"/>
      <c r="AU90" s="707"/>
      <c r="AV90" s="707"/>
      <c r="AW90" s="707"/>
      <c r="AX90" s="707"/>
      <c r="AY90" s="707"/>
      <c r="AZ90" s="707"/>
      <c r="BA90" s="707"/>
      <c r="BB90" s="707"/>
      <c r="BC90" s="707"/>
      <c r="BD90" s="707"/>
      <c r="BE90" s="707"/>
      <c r="BF90" s="707"/>
      <c r="BG90" s="707"/>
      <c r="BH90" s="707"/>
      <c r="BI90" s="707"/>
      <c r="BJ90" s="707"/>
      <c r="BK90" s="707"/>
      <c r="BL90" s="707"/>
      <c r="BM90" s="707"/>
      <c r="BN90" s="707"/>
      <c r="BO90" s="707"/>
      <c r="BP90" s="707"/>
      <c r="BQ90" s="707"/>
      <c r="BR90" s="707"/>
      <c r="BS90" s="707"/>
      <c r="BT90" s="707"/>
      <c r="BU90" s="707"/>
      <c r="BV90" s="707"/>
      <c r="BW90" s="707"/>
      <c r="BX90" s="707"/>
    </row>
    <row r="91" spans="1:76" ht="15">
      <c r="A91" s="707"/>
      <c r="B91" s="707"/>
      <c r="C91" s="707"/>
      <c r="D91" s="707"/>
      <c r="E91" s="707"/>
      <c r="F91" s="707"/>
      <c r="G91" s="707"/>
      <c r="H91" s="707"/>
      <c r="I91" s="707"/>
      <c r="J91" s="707"/>
      <c r="K91" s="707"/>
      <c r="L91" s="707"/>
      <c r="M91" s="707"/>
      <c r="N91" s="707"/>
      <c r="O91" s="707"/>
      <c r="P91" s="707"/>
      <c r="Q91" s="707"/>
      <c r="R91" s="707"/>
      <c r="S91" s="707"/>
      <c r="T91" s="707"/>
      <c r="U91" s="707"/>
      <c r="V91" s="707"/>
      <c r="W91" s="707"/>
      <c r="X91" s="707"/>
      <c r="Y91" s="707"/>
      <c r="Z91" s="707"/>
      <c r="AA91" s="707"/>
      <c r="AB91" s="707"/>
      <c r="AC91" s="707"/>
      <c r="AD91" s="707"/>
      <c r="AE91" s="707"/>
      <c r="AF91" s="707"/>
      <c r="AG91" s="707"/>
      <c r="AH91" s="707"/>
      <c r="AI91" s="707"/>
      <c r="AJ91" s="707"/>
      <c r="AK91" s="707"/>
      <c r="AL91" s="707"/>
      <c r="AM91" s="707"/>
      <c r="AN91" s="707"/>
      <c r="AO91" s="707"/>
      <c r="AP91" s="707"/>
      <c r="AQ91" s="707"/>
      <c r="AR91" s="707"/>
      <c r="AS91" s="707"/>
      <c r="AT91" s="707"/>
      <c r="AU91" s="707"/>
      <c r="AV91" s="707"/>
      <c r="AW91" s="707"/>
      <c r="AX91" s="707"/>
      <c r="AY91" s="707"/>
      <c r="AZ91" s="707"/>
      <c r="BA91" s="707"/>
      <c r="BB91" s="707"/>
      <c r="BC91" s="707"/>
      <c r="BD91" s="707"/>
      <c r="BE91" s="707"/>
      <c r="BF91" s="707"/>
      <c r="BG91" s="707"/>
      <c r="BH91" s="707"/>
      <c r="BI91" s="707"/>
      <c r="BJ91" s="707"/>
      <c r="BK91" s="707"/>
      <c r="BL91" s="707"/>
      <c r="BM91" s="707"/>
      <c r="BN91" s="707"/>
      <c r="BO91" s="707"/>
      <c r="BP91" s="707"/>
      <c r="BQ91" s="707"/>
      <c r="BR91" s="707"/>
      <c r="BS91" s="707"/>
      <c r="BT91" s="707"/>
      <c r="BU91" s="707"/>
      <c r="BV91" s="707"/>
      <c r="BW91" s="707"/>
      <c r="BX91" s="707"/>
    </row>
    <row r="92" spans="1:76" ht="15">
      <c r="A92" s="707"/>
      <c r="B92" s="707"/>
      <c r="C92" s="707"/>
      <c r="D92" s="707"/>
      <c r="E92" s="707"/>
      <c r="F92" s="707"/>
      <c r="G92" s="707"/>
      <c r="H92" s="707"/>
      <c r="I92" s="707"/>
      <c r="J92" s="707"/>
      <c r="K92" s="707"/>
      <c r="L92" s="707"/>
      <c r="M92" s="707"/>
      <c r="N92" s="707"/>
      <c r="O92" s="707"/>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7"/>
      <c r="AO92" s="707"/>
      <c r="AP92" s="707"/>
      <c r="AQ92" s="707"/>
      <c r="AR92" s="707"/>
      <c r="AS92" s="707"/>
      <c r="AT92" s="707"/>
      <c r="AU92" s="707"/>
      <c r="AV92" s="707"/>
      <c r="AW92" s="707"/>
      <c r="AX92" s="707"/>
      <c r="AY92" s="707"/>
      <c r="AZ92" s="707"/>
      <c r="BA92" s="707"/>
      <c r="BB92" s="707"/>
      <c r="BC92" s="707"/>
      <c r="BD92" s="707"/>
      <c r="BE92" s="707"/>
      <c r="BF92" s="707"/>
      <c r="BG92" s="707"/>
      <c r="BH92" s="707"/>
      <c r="BI92" s="707"/>
      <c r="BJ92" s="707"/>
      <c r="BK92" s="707"/>
      <c r="BL92" s="707"/>
      <c r="BM92" s="707"/>
      <c r="BN92" s="707"/>
      <c r="BO92" s="707"/>
      <c r="BP92" s="707"/>
      <c r="BQ92" s="707"/>
      <c r="BR92" s="707"/>
      <c r="BS92" s="707"/>
      <c r="BT92" s="707"/>
      <c r="BU92" s="707"/>
      <c r="BV92" s="707"/>
      <c r="BW92" s="707"/>
      <c r="BX92" s="707"/>
    </row>
    <row r="93" spans="1:76" ht="15">
      <c r="A93" s="707"/>
      <c r="B93" s="707"/>
      <c r="C93" s="707"/>
      <c r="D93" s="707"/>
      <c r="E93" s="707"/>
      <c r="F93" s="707"/>
      <c r="G93" s="707"/>
      <c r="H93" s="707"/>
      <c r="I93" s="707"/>
      <c r="J93" s="707"/>
      <c r="K93" s="707"/>
      <c r="L93" s="707"/>
      <c r="M93" s="707"/>
      <c r="N93" s="707"/>
      <c r="O93" s="707"/>
      <c r="P93" s="707"/>
      <c r="Q93" s="707"/>
      <c r="R93" s="707"/>
      <c r="S93" s="707"/>
      <c r="T93" s="707"/>
      <c r="U93" s="707"/>
      <c r="V93" s="707"/>
      <c r="W93" s="707"/>
      <c r="X93" s="707"/>
      <c r="Y93" s="707"/>
      <c r="Z93" s="707"/>
      <c r="AA93" s="707"/>
      <c r="AB93" s="707"/>
      <c r="AC93" s="707"/>
      <c r="AD93" s="707"/>
      <c r="AE93" s="707"/>
      <c r="AF93" s="707"/>
      <c r="AG93" s="707"/>
      <c r="AH93" s="707"/>
      <c r="AI93" s="707"/>
      <c r="AJ93" s="707"/>
      <c r="AK93" s="707"/>
      <c r="AL93" s="707"/>
      <c r="AM93" s="707"/>
      <c r="AN93" s="707"/>
      <c r="AO93" s="707"/>
      <c r="AP93" s="707"/>
      <c r="AQ93" s="707"/>
      <c r="AR93" s="707"/>
      <c r="AS93" s="707"/>
      <c r="AT93" s="707"/>
      <c r="AU93" s="707"/>
      <c r="AV93" s="707"/>
      <c r="AW93" s="707"/>
      <c r="AX93" s="707"/>
      <c r="AY93" s="707"/>
      <c r="AZ93" s="707"/>
      <c r="BA93" s="707"/>
      <c r="BB93" s="707"/>
      <c r="BC93" s="707"/>
      <c r="BD93" s="707"/>
      <c r="BE93" s="707"/>
      <c r="BF93" s="707"/>
      <c r="BG93" s="707"/>
      <c r="BH93" s="707"/>
      <c r="BI93" s="707"/>
      <c r="BJ93" s="707"/>
      <c r="BK93" s="707"/>
      <c r="BL93" s="707"/>
      <c r="BM93" s="707"/>
      <c r="BN93" s="707"/>
      <c r="BO93" s="707"/>
      <c r="BP93" s="707"/>
      <c r="BQ93" s="707"/>
      <c r="BR93" s="707"/>
      <c r="BS93" s="707"/>
      <c r="BT93" s="707"/>
      <c r="BU93" s="707"/>
      <c r="BV93" s="707"/>
      <c r="BW93" s="707"/>
      <c r="BX93" s="707"/>
    </row>
    <row r="94" spans="1:76" ht="15">
      <c r="A94" s="707"/>
      <c r="B94" s="707"/>
      <c r="C94" s="707"/>
      <c r="D94" s="707"/>
      <c r="E94" s="707"/>
      <c r="F94" s="707"/>
      <c r="G94" s="707"/>
      <c r="H94" s="707"/>
      <c r="I94" s="707"/>
      <c r="J94" s="707"/>
      <c r="K94" s="707"/>
      <c r="L94" s="707"/>
      <c r="M94" s="707"/>
      <c r="N94" s="707"/>
      <c r="O94" s="707"/>
      <c r="P94" s="707"/>
      <c r="Q94" s="707"/>
      <c r="R94" s="707"/>
      <c r="S94" s="707"/>
      <c r="T94" s="707"/>
      <c r="U94" s="707"/>
      <c r="V94" s="707"/>
      <c r="W94" s="707"/>
      <c r="X94" s="707"/>
      <c r="Y94" s="707"/>
      <c r="Z94" s="707"/>
      <c r="AA94" s="707"/>
      <c r="AB94" s="707"/>
      <c r="AC94" s="707"/>
      <c r="AD94" s="707"/>
      <c r="AE94" s="707"/>
      <c r="AF94" s="707"/>
      <c r="AG94" s="707"/>
      <c r="AH94" s="707"/>
      <c r="AI94" s="707"/>
      <c r="AJ94" s="707"/>
      <c r="AK94" s="707"/>
      <c r="AL94" s="707"/>
      <c r="AM94" s="707"/>
      <c r="AN94" s="707"/>
      <c r="AO94" s="707"/>
      <c r="AP94" s="707"/>
      <c r="AQ94" s="707"/>
      <c r="AR94" s="707"/>
      <c r="AS94" s="707"/>
      <c r="AT94" s="707"/>
      <c r="AU94" s="707"/>
      <c r="AV94" s="707"/>
      <c r="AW94" s="707"/>
      <c r="AX94" s="707"/>
      <c r="AY94" s="707"/>
      <c r="AZ94" s="707"/>
      <c r="BA94" s="707"/>
      <c r="BB94" s="707"/>
      <c r="BC94" s="707"/>
      <c r="BD94" s="707"/>
      <c r="BE94" s="707"/>
      <c r="BF94" s="707"/>
      <c r="BG94" s="707"/>
      <c r="BH94" s="707"/>
      <c r="BI94" s="707"/>
      <c r="BJ94" s="707"/>
      <c r="BK94" s="707"/>
      <c r="BL94" s="707"/>
      <c r="BM94" s="707"/>
      <c r="BN94" s="707"/>
      <c r="BO94" s="707"/>
      <c r="BP94" s="707"/>
      <c r="BQ94" s="707"/>
      <c r="BR94" s="707"/>
      <c r="BS94" s="707"/>
      <c r="BT94" s="707"/>
      <c r="BU94" s="707"/>
      <c r="BV94" s="707"/>
      <c r="BW94" s="707"/>
      <c r="BX94" s="707"/>
    </row>
    <row r="95" spans="1:76" ht="15">
      <c r="A95" s="707"/>
      <c r="B95" s="707"/>
      <c r="C95" s="707"/>
      <c r="D95" s="707"/>
      <c r="E95" s="707"/>
      <c r="F95" s="707"/>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7"/>
      <c r="AZ95" s="707"/>
      <c r="BA95" s="707"/>
      <c r="BB95" s="707"/>
      <c r="BC95" s="707"/>
      <c r="BD95" s="707"/>
      <c r="BE95" s="707"/>
      <c r="BF95" s="707"/>
      <c r="BG95" s="707"/>
      <c r="BH95" s="707"/>
      <c r="BI95" s="707"/>
      <c r="BJ95" s="707"/>
      <c r="BK95" s="707"/>
      <c r="BL95" s="707"/>
      <c r="BM95" s="707"/>
      <c r="BN95" s="707"/>
      <c r="BO95" s="707"/>
      <c r="BP95" s="707"/>
      <c r="BQ95" s="707"/>
      <c r="BR95" s="707"/>
      <c r="BS95" s="707"/>
      <c r="BT95" s="707"/>
      <c r="BU95" s="707"/>
      <c r="BV95" s="707"/>
      <c r="BW95" s="707"/>
      <c r="BX95" s="707"/>
    </row>
    <row r="96" spans="1:76" ht="15">
      <c r="A96" s="707"/>
      <c r="B96" s="707"/>
      <c r="C96" s="707"/>
      <c r="D96" s="707"/>
      <c r="E96" s="707"/>
      <c r="F96" s="707"/>
      <c r="G96" s="707"/>
      <c r="H96" s="707"/>
      <c r="I96" s="707"/>
      <c r="J96" s="707"/>
      <c r="K96" s="707"/>
      <c r="L96" s="707"/>
      <c r="M96" s="707"/>
      <c r="N96" s="707"/>
      <c r="O96" s="707"/>
      <c r="P96" s="707"/>
      <c r="Q96" s="707"/>
      <c r="R96" s="707"/>
      <c r="S96" s="707"/>
      <c r="T96" s="707"/>
      <c r="U96" s="707"/>
      <c r="V96" s="707"/>
      <c r="W96" s="707"/>
      <c r="X96" s="707"/>
      <c r="Y96" s="707"/>
      <c r="Z96" s="707"/>
      <c r="AA96" s="707"/>
      <c r="AB96" s="707"/>
      <c r="AC96" s="707"/>
      <c r="AD96" s="707"/>
      <c r="AE96" s="707"/>
      <c r="AF96" s="707"/>
      <c r="AG96" s="707"/>
      <c r="AH96" s="707"/>
      <c r="AI96" s="707"/>
      <c r="AJ96" s="707"/>
      <c r="AK96" s="707"/>
      <c r="AL96" s="707"/>
      <c r="AM96" s="707"/>
      <c r="AN96" s="707"/>
      <c r="AO96" s="707"/>
      <c r="AP96" s="707"/>
      <c r="AQ96" s="707"/>
      <c r="AR96" s="707"/>
      <c r="AS96" s="707"/>
      <c r="AT96" s="707"/>
      <c r="AU96" s="707"/>
      <c r="AV96" s="707"/>
      <c r="AW96" s="707"/>
      <c r="AX96" s="707"/>
      <c r="AY96" s="707"/>
      <c r="AZ96" s="707"/>
      <c r="BA96" s="707"/>
      <c r="BB96" s="707"/>
      <c r="BC96" s="707"/>
      <c r="BD96" s="707"/>
      <c r="BE96" s="707"/>
      <c r="BF96" s="707"/>
      <c r="BG96" s="707"/>
      <c r="BH96" s="707"/>
      <c r="BI96" s="707"/>
      <c r="BJ96" s="707"/>
      <c r="BK96" s="707"/>
      <c r="BL96" s="707"/>
      <c r="BM96" s="707"/>
      <c r="BN96" s="707"/>
      <c r="BO96" s="707"/>
      <c r="BP96" s="707"/>
      <c r="BQ96" s="707"/>
      <c r="BR96" s="707"/>
      <c r="BS96" s="707"/>
      <c r="BT96" s="707"/>
      <c r="BU96" s="707"/>
      <c r="BV96" s="707"/>
      <c r="BW96" s="707"/>
      <c r="BX96" s="707"/>
    </row>
    <row r="97" spans="1:76" ht="15">
      <c r="A97" s="707"/>
      <c r="B97" s="707"/>
      <c r="C97" s="707"/>
      <c r="D97" s="707"/>
      <c r="E97" s="707"/>
      <c r="F97" s="707"/>
      <c r="G97" s="707"/>
      <c r="H97" s="707"/>
      <c r="I97" s="707"/>
      <c r="J97" s="707"/>
      <c r="K97" s="707"/>
      <c r="L97" s="707"/>
      <c r="M97" s="707"/>
      <c r="N97" s="707"/>
      <c r="O97" s="707"/>
      <c r="P97" s="707"/>
      <c r="Q97" s="707"/>
      <c r="R97" s="707"/>
      <c r="S97" s="707"/>
      <c r="T97" s="707"/>
      <c r="U97" s="707"/>
      <c r="V97" s="707"/>
      <c r="W97" s="707"/>
      <c r="X97" s="707"/>
      <c r="Y97" s="707"/>
      <c r="Z97" s="707"/>
      <c r="AA97" s="707"/>
      <c r="AB97" s="707"/>
      <c r="AC97" s="707"/>
      <c r="AD97" s="707"/>
      <c r="AE97" s="707"/>
      <c r="AF97" s="707"/>
      <c r="AG97" s="707"/>
      <c r="AH97" s="707"/>
      <c r="AI97" s="707"/>
      <c r="AJ97" s="707"/>
      <c r="AK97" s="707"/>
      <c r="AL97" s="707"/>
      <c r="AM97" s="707"/>
      <c r="AN97" s="707"/>
      <c r="AO97" s="707"/>
      <c r="AP97" s="707"/>
      <c r="AQ97" s="707"/>
      <c r="AR97" s="707"/>
      <c r="AS97" s="707"/>
      <c r="AT97" s="707"/>
      <c r="AU97" s="707"/>
      <c r="AV97" s="707"/>
      <c r="AW97" s="707"/>
      <c r="AX97" s="707"/>
      <c r="AY97" s="707"/>
      <c r="AZ97" s="707"/>
      <c r="BA97" s="707"/>
      <c r="BB97" s="707"/>
      <c r="BC97" s="707"/>
      <c r="BD97" s="707"/>
      <c r="BE97" s="707"/>
      <c r="BF97" s="707"/>
      <c r="BG97" s="707"/>
      <c r="BH97" s="707"/>
      <c r="BI97" s="707"/>
      <c r="BJ97" s="707"/>
      <c r="BK97" s="707"/>
      <c r="BL97" s="707"/>
      <c r="BM97" s="707"/>
      <c r="BN97" s="707"/>
      <c r="BO97" s="707"/>
      <c r="BP97" s="707"/>
      <c r="BQ97" s="707"/>
      <c r="BR97" s="707"/>
      <c r="BS97" s="707"/>
      <c r="BT97" s="707"/>
      <c r="BU97" s="707"/>
      <c r="BV97" s="707"/>
      <c r="BW97" s="707"/>
      <c r="BX97" s="707"/>
    </row>
    <row r="98" spans="1:76" ht="15">
      <c r="A98" s="707"/>
      <c r="B98" s="707"/>
      <c r="C98" s="707"/>
      <c r="D98" s="707"/>
      <c r="E98" s="707"/>
      <c r="F98" s="707"/>
      <c r="G98" s="707"/>
      <c r="H98" s="707"/>
      <c r="I98" s="707"/>
      <c r="J98" s="707"/>
      <c r="K98" s="707"/>
      <c r="L98" s="707"/>
      <c r="M98" s="707"/>
      <c r="N98" s="707"/>
      <c r="O98" s="707"/>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7"/>
      <c r="AY98" s="707"/>
      <c r="AZ98" s="707"/>
      <c r="BA98" s="707"/>
      <c r="BB98" s="707"/>
      <c r="BC98" s="707"/>
      <c r="BD98" s="707"/>
      <c r="BE98" s="707"/>
      <c r="BF98" s="707"/>
      <c r="BG98" s="707"/>
      <c r="BH98" s="707"/>
      <c r="BI98" s="707"/>
      <c r="BJ98" s="707"/>
      <c r="BK98" s="707"/>
      <c r="BL98" s="707"/>
      <c r="BM98" s="707"/>
      <c r="BN98" s="707"/>
      <c r="BO98" s="707"/>
      <c r="BP98" s="707"/>
      <c r="BQ98" s="707"/>
      <c r="BR98" s="707"/>
      <c r="BS98" s="707"/>
      <c r="BT98" s="707"/>
      <c r="BU98" s="707"/>
      <c r="BV98" s="707"/>
      <c r="BW98" s="707"/>
      <c r="BX98" s="707"/>
    </row>
    <row r="99" spans="1:76" ht="15">
      <c r="A99" s="707"/>
      <c r="B99" s="707"/>
      <c r="C99" s="707"/>
      <c r="D99" s="707"/>
      <c r="E99" s="707"/>
      <c r="F99" s="707"/>
      <c r="G99" s="707"/>
      <c r="H99" s="707"/>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7"/>
      <c r="AY99" s="707"/>
      <c r="AZ99" s="707"/>
      <c r="BA99" s="707"/>
      <c r="BB99" s="707"/>
      <c r="BC99" s="707"/>
      <c r="BD99" s="707"/>
      <c r="BE99" s="707"/>
      <c r="BF99" s="707"/>
      <c r="BG99" s="707"/>
      <c r="BH99" s="707"/>
      <c r="BI99" s="707"/>
      <c r="BJ99" s="707"/>
      <c r="BK99" s="707"/>
      <c r="BL99" s="707"/>
      <c r="BM99" s="707"/>
      <c r="BN99" s="707"/>
      <c r="BO99" s="707"/>
      <c r="BP99" s="707"/>
      <c r="BQ99" s="707"/>
      <c r="BR99" s="707"/>
      <c r="BS99" s="707"/>
      <c r="BT99" s="707"/>
      <c r="BU99" s="707"/>
      <c r="BV99" s="707"/>
      <c r="BW99" s="707"/>
      <c r="BX99" s="707"/>
    </row>
    <row r="100" spans="1:76" ht="15">
      <c r="A100" s="707"/>
      <c r="B100" s="707"/>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7"/>
      <c r="AY100" s="707"/>
      <c r="AZ100" s="707"/>
      <c r="BA100" s="707"/>
      <c r="BB100" s="707"/>
      <c r="BC100" s="707"/>
      <c r="BD100" s="707"/>
      <c r="BE100" s="707"/>
      <c r="BF100" s="707"/>
      <c r="BG100" s="707"/>
      <c r="BH100" s="707"/>
      <c r="BI100" s="707"/>
      <c r="BJ100" s="707"/>
      <c r="BK100" s="707"/>
      <c r="BL100" s="707"/>
      <c r="BM100" s="707"/>
      <c r="BN100" s="707"/>
      <c r="BO100" s="707"/>
      <c r="BP100" s="707"/>
      <c r="BQ100" s="707"/>
      <c r="BR100" s="707"/>
      <c r="BS100" s="707"/>
      <c r="BT100" s="707"/>
      <c r="BU100" s="707"/>
      <c r="BV100" s="707"/>
      <c r="BW100" s="707"/>
      <c r="BX100" s="707"/>
    </row>
    <row r="101" spans="1:76" ht="15">
      <c r="A101" s="707"/>
      <c r="B101" s="707"/>
      <c r="C101" s="707"/>
      <c r="D101" s="707"/>
      <c r="E101" s="707"/>
      <c r="F101" s="707"/>
      <c r="G101" s="707"/>
      <c r="H101" s="707"/>
      <c r="I101" s="707"/>
      <c r="J101" s="707"/>
      <c r="K101" s="707"/>
      <c r="L101" s="707"/>
      <c r="M101" s="707"/>
      <c r="N101" s="707"/>
      <c r="O101" s="707"/>
      <c r="P101" s="707"/>
      <c r="Q101" s="707"/>
      <c r="R101" s="707"/>
      <c r="S101" s="707"/>
      <c r="T101" s="707"/>
      <c r="U101" s="707"/>
      <c r="V101" s="707"/>
      <c r="W101" s="707"/>
      <c r="X101" s="707"/>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7"/>
      <c r="AY101" s="707"/>
      <c r="AZ101" s="707"/>
      <c r="BA101" s="707"/>
      <c r="BB101" s="707"/>
      <c r="BC101" s="707"/>
      <c r="BD101" s="707"/>
      <c r="BE101" s="707"/>
      <c r="BF101" s="707"/>
      <c r="BG101" s="707"/>
      <c r="BH101" s="707"/>
      <c r="BI101" s="707"/>
      <c r="BJ101" s="707"/>
      <c r="BK101" s="707"/>
      <c r="BL101" s="707"/>
      <c r="BM101" s="707"/>
      <c r="BN101" s="707"/>
      <c r="BO101" s="707"/>
      <c r="BP101" s="707"/>
      <c r="BQ101" s="707"/>
      <c r="BR101" s="707"/>
      <c r="BS101" s="707"/>
      <c r="BT101" s="707"/>
      <c r="BU101" s="707"/>
      <c r="BV101" s="707"/>
      <c r="BW101" s="707"/>
      <c r="BX101" s="707"/>
    </row>
    <row r="102" spans="1:76" ht="15">
      <c r="A102" s="707"/>
      <c r="B102" s="707"/>
      <c r="C102" s="707"/>
      <c r="D102" s="707"/>
      <c r="E102" s="707"/>
      <c r="F102" s="707"/>
      <c r="G102" s="707"/>
      <c r="H102" s="707"/>
      <c r="I102" s="707"/>
      <c r="J102" s="707"/>
      <c r="K102" s="707"/>
      <c r="L102" s="707"/>
      <c r="M102" s="707"/>
      <c r="N102" s="707"/>
      <c r="O102" s="707"/>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7"/>
      <c r="AY102" s="707"/>
      <c r="AZ102" s="707"/>
      <c r="BA102" s="707"/>
      <c r="BB102" s="707"/>
      <c r="BC102" s="707"/>
      <c r="BD102" s="707"/>
      <c r="BE102" s="707"/>
      <c r="BF102" s="707"/>
      <c r="BG102" s="707"/>
      <c r="BH102" s="707"/>
      <c r="BI102" s="707"/>
      <c r="BJ102" s="707"/>
      <c r="BK102" s="707"/>
      <c r="BL102" s="707"/>
      <c r="BM102" s="707"/>
      <c r="BN102" s="707"/>
      <c r="BO102" s="707"/>
      <c r="BP102" s="707"/>
      <c r="BQ102" s="707"/>
      <c r="BR102" s="707"/>
      <c r="BS102" s="707"/>
      <c r="BT102" s="707"/>
      <c r="BU102" s="707"/>
      <c r="BV102" s="707"/>
      <c r="BW102" s="707"/>
      <c r="BX102" s="707"/>
    </row>
    <row r="103" spans="1:76" ht="15">
      <c r="A103" s="707"/>
      <c r="B103" s="707"/>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7"/>
      <c r="AY103" s="707"/>
      <c r="AZ103" s="707"/>
      <c r="BA103" s="707"/>
      <c r="BB103" s="707"/>
      <c r="BC103" s="707"/>
      <c r="BD103" s="707"/>
      <c r="BE103" s="707"/>
      <c r="BF103" s="707"/>
      <c r="BG103" s="707"/>
      <c r="BH103" s="707"/>
      <c r="BI103" s="707"/>
      <c r="BJ103" s="707"/>
      <c r="BK103" s="707"/>
      <c r="BL103" s="707"/>
      <c r="BM103" s="707"/>
      <c r="BN103" s="707"/>
      <c r="BO103" s="707"/>
      <c r="BP103" s="707"/>
      <c r="BQ103" s="707"/>
      <c r="BR103" s="707"/>
      <c r="BS103" s="707"/>
      <c r="BT103" s="707"/>
      <c r="BU103" s="707"/>
      <c r="BV103" s="707"/>
      <c r="BW103" s="707"/>
      <c r="BX103" s="707"/>
    </row>
    <row r="104" spans="1:76" ht="15">
      <c r="A104" s="707"/>
      <c r="B104" s="707"/>
      <c r="C104" s="707"/>
      <c r="D104" s="707"/>
      <c r="E104" s="707"/>
      <c r="F104" s="707"/>
      <c r="G104" s="707"/>
      <c r="H104" s="707"/>
      <c r="I104" s="707"/>
      <c r="J104" s="707"/>
      <c r="K104" s="707"/>
      <c r="L104" s="707"/>
      <c r="M104" s="707"/>
      <c r="N104" s="707"/>
      <c r="O104" s="707"/>
      <c r="P104" s="707"/>
      <c r="Q104" s="707"/>
      <c r="R104" s="707"/>
      <c r="S104" s="707"/>
      <c r="T104" s="707"/>
      <c r="U104" s="707"/>
      <c r="V104" s="707"/>
      <c r="W104" s="707"/>
      <c r="X104" s="707"/>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7"/>
      <c r="AY104" s="707"/>
      <c r="AZ104" s="707"/>
      <c r="BA104" s="707"/>
      <c r="BB104" s="707"/>
      <c r="BC104" s="707"/>
      <c r="BD104" s="707"/>
      <c r="BE104" s="707"/>
      <c r="BF104" s="707"/>
      <c r="BG104" s="707"/>
      <c r="BH104" s="707"/>
      <c r="BI104" s="707"/>
      <c r="BJ104" s="707"/>
      <c r="BK104" s="707"/>
      <c r="BL104" s="707"/>
      <c r="BM104" s="707"/>
      <c r="BN104" s="707"/>
      <c r="BO104" s="707"/>
      <c r="BP104" s="707"/>
      <c r="BQ104" s="707"/>
      <c r="BR104" s="707"/>
      <c r="BS104" s="707"/>
      <c r="BT104" s="707"/>
      <c r="BU104" s="707"/>
      <c r="BV104" s="707"/>
      <c r="BW104" s="707"/>
      <c r="BX104" s="707"/>
    </row>
    <row r="105" spans="1:76" ht="15">
      <c r="A105" s="707"/>
      <c r="B105" s="707"/>
      <c r="C105" s="707"/>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7"/>
      <c r="AY105" s="707"/>
      <c r="AZ105" s="707"/>
      <c r="BA105" s="707"/>
      <c r="BB105" s="707"/>
      <c r="BC105" s="707"/>
      <c r="BD105" s="707"/>
      <c r="BE105" s="707"/>
      <c r="BF105" s="707"/>
      <c r="BG105" s="707"/>
      <c r="BH105" s="707"/>
      <c r="BI105" s="707"/>
      <c r="BJ105" s="707"/>
      <c r="BK105" s="707"/>
      <c r="BL105" s="707"/>
      <c r="BM105" s="707"/>
      <c r="BN105" s="707"/>
      <c r="BO105" s="707"/>
      <c r="BP105" s="707"/>
      <c r="BQ105" s="707"/>
      <c r="BR105" s="707"/>
      <c r="BS105" s="707"/>
      <c r="BT105" s="707"/>
      <c r="BU105" s="707"/>
      <c r="BV105" s="707"/>
      <c r="BW105" s="707"/>
      <c r="BX105" s="707"/>
    </row>
    <row r="106" spans="1:76" ht="15">
      <c r="A106" s="707"/>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7"/>
      <c r="AY106" s="707"/>
      <c r="AZ106" s="707"/>
      <c r="BA106" s="707"/>
      <c r="BB106" s="707"/>
      <c r="BC106" s="707"/>
      <c r="BD106" s="707"/>
      <c r="BE106" s="707"/>
      <c r="BF106" s="707"/>
      <c r="BG106" s="707"/>
      <c r="BH106" s="707"/>
      <c r="BI106" s="707"/>
      <c r="BJ106" s="707"/>
      <c r="BK106" s="707"/>
      <c r="BL106" s="707"/>
      <c r="BM106" s="707"/>
      <c r="BN106" s="707"/>
      <c r="BO106" s="707"/>
      <c r="BP106" s="707"/>
      <c r="BQ106" s="707"/>
      <c r="BR106" s="707"/>
      <c r="BS106" s="707"/>
      <c r="BT106" s="707"/>
      <c r="BU106" s="707"/>
      <c r="BV106" s="707"/>
      <c r="BW106" s="707"/>
      <c r="BX106" s="707"/>
    </row>
    <row r="107" spans="1:76" ht="15">
      <c r="A107" s="707"/>
      <c r="B107" s="707"/>
      <c r="C107" s="707"/>
      <c r="D107" s="707"/>
      <c r="E107" s="707"/>
      <c r="F107" s="707"/>
      <c r="G107" s="707"/>
      <c r="H107" s="707"/>
      <c r="I107" s="707"/>
      <c r="J107" s="707"/>
      <c r="K107" s="707"/>
      <c r="L107" s="707"/>
      <c r="M107" s="707"/>
      <c r="N107" s="707"/>
      <c r="O107" s="707"/>
      <c r="P107" s="707"/>
      <c r="Q107" s="707"/>
      <c r="R107" s="707"/>
      <c r="S107" s="707"/>
      <c r="T107" s="707"/>
      <c r="U107" s="707"/>
      <c r="V107" s="707"/>
      <c r="W107" s="707"/>
      <c r="X107" s="707"/>
      <c r="Y107" s="707"/>
      <c r="Z107" s="707"/>
      <c r="AA107" s="707"/>
      <c r="AB107" s="707"/>
      <c r="AC107" s="707"/>
      <c r="AD107" s="707"/>
      <c r="AE107" s="707"/>
      <c r="AF107" s="707"/>
      <c r="AG107" s="707"/>
      <c r="AH107" s="707"/>
      <c r="AI107" s="707"/>
      <c r="AJ107" s="707"/>
      <c r="AK107" s="707"/>
      <c r="AL107" s="707"/>
      <c r="AM107" s="707"/>
      <c r="AN107" s="707"/>
      <c r="AO107" s="707"/>
      <c r="AP107" s="707"/>
      <c r="AQ107" s="707"/>
      <c r="AR107" s="707"/>
      <c r="AS107" s="707"/>
      <c r="AT107" s="707"/>
      <c r="AU107" s="707"/>
      <c r="AV107" s="707"/>
      <c r="AW107" s="707"/>
      <c r="AX107" s="707"/>
      <c r="AY107" s="707"/>
      <c r="AZ107" s="707"/>
      <c r="BA107" s="707"/>
      <c r="BB107" s="707"/>
      <c r="BC107" s="707"/>
      <c r="BD107" s="707"/>
      <c r="BE107" s="707"/>
      <c r="BF107" s="707"/>
      <c r="BG107" s="707"/>
      <c r="BH107" s="707"/>
      <c r="BI107" s="707"/>
      <c r="BJ107" s="707"/>
      <c r="BK107" s="707"/>
      <c r="BL107" s="707"/>
      <c r="BM107" s="707"/>
      <c r="BN107" s="707"/>
      <c r="BO107" s="707"/>
      <c r="BP107" s="707"/>
      <c r="BQ107" s="707"/>
      <c r="BR107" s="707"/>
      <c r="BS107" s="707"/>
      <c r="BT107" s="707"/>
      <c r="BU107" s="707"/>
      <c r="BV107" s="707"/>
      <c r="BW107" s="707"/>
      <c r="BX107" s="707"/>
    </row>
    <row r="108" spans="1:76" ht="15">
      <c r="A108" s="707"/>
      <c r="B108" s="707"/>
      <c r="C108" s="707"/>
      <c r="D108" s="707"/>
      <c r="E108" s="707"/>
      <c r="F108" s="707"/>
      <c r="G108" s="707"/>
      <c r="H108" s="707"/>
      <c r="I108" s="707"/>
      <c r="J108" s="707"/>
      <c r="K108" s="707"/>
      <c r="L108" s="707"/>
      <c r="M108" s="707"/>
      <c r="N108" s="707"/>
      <c r="O108" s="707"/>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707"/>
      <c r="AY108" s="707"/>
      <c r="AZ108" s="707"/>
      <c r="BA108" s="707"/>
      <c r="BB108" s="707"/>
      <c r="BC108" s="707"/>
      <c r="BD108" s="707"/>
      <c r="BE108" s="707"/>
      <c r="BF108" s="707"/>
      <c r="BG108" s="707"/>
      <c r="BH108" s="707"/>
      <c r="BI108" s="707"/>
      <c r="BJ108" s="707"/>
      <c r="BK108" s="707"/>
      <c r="BL108" s="707"/>
      <c r="BM108" s="707"/>
      <c r="BN108" s="707"/>
      <c r="BO108" s="707"/>
      <c r="BP108" s="707"/>
      <c r="BQ108" s="707"/>
      <c r="BR108" s="707"/>
      <c r="BS108" s="707"/>
      <c r="BT108" s="707"/>
      <c r="BU108" s="707"/>
      <c r="BV108" s="707"/>
      <c r="BW108" s="707"/>
      <c r="BX108" s="707"/>
    </row>
    <row r="109" spans="1:76" ht="15">
      <c r="A109" s="707"/>
      <c r="B109" s="707"/>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7"/>
      <c r="AV109" s="707"/>
      <c r="AW109" s="707"/>
      <c r="AX109" s="707"/>
      <c r="AY109" s="707"/>
      <c r="AZ109" s="707"/>
      <c r="BA109" s="707"/>
      <c r="BB109" s="707"/>
      <c r="BC109" s="707"/>
      <c r="BD109" s="707"/>
      <c r="BE109" s="707"/>
      <c r="BF109" s="707"/>
      <c r="BG109" s="707"/>
      <c r="BH109" s="707"/>
      <c r="BI109" s="707"/>
      <c r="BJ109" s="707"/>
      <c r="BK109" s="707"/>
      <c r="BL109" s="707"/>
      <c r="BM109" s="707"/>
      <c r="BN109" s="707"/>
      <c r="BO109" s="707"/>
      <c r="BP109" s="707"/>
      <c r="BQ109" s="707"/>
      <c r="BR109" s="707"/>
      <c r="BS109" s="707"/>
      <c r="BT109" s="707"/>
      <c r="BU109" s="707"/>
      <c r="BV109" s="707"/>
      <c r="BW109" s="707"/>
      <c r="BX109" s="707"/>
    </row>
    <row r="110" spans="1:76" ht="15">
      <c r="A110" s="707"/>
      <c r="B110" s="707"/>
      <c r="C110" s="707"/>
      <c r="D110" s="707"/>
      <c r="E110" s="707"/>
      <c r="F110" s="707"/>
      <c r="G110" s="707"/>
      <c r="H110" s="707"/>
      <c r="I110" s="707"/>
      <c r="J110" s="707"/>
      <c r="K110" s="707"/>
      <c r="L110" s="707"/>
      <c r="M110" s="707"/>
      <c r="N110" s="707"/>
      <c r="O110" s="707"/>
      <c r="P110" s="707"/>
      <c r="Q110" s="707"/>
      <c r="R110" s="707"/>
      <c r="S110" s="707"/>
      <c r="T110" s="707"/>
      <c r="U110" s="707"/>
      <c r="V110" s="707"/>
      <c r="W110" s="707"/>
      <c r="X110" s="707"/>
      <c r="Y110" s="707"/>
      <c r="Z110" s="707"/>
      <c r="AA110" s="707"/>
      <c r="AB110" s="707"/>
      <c r="AC110" s="707"/>
      <c r="AD110" s="707"/>
      <c r="AE110" s="707"/>
      <c r="AF110" s="707"/>
      <c r="AG110" s="707"/>
      <c r="AH110" s="707"/>
      <c r="AI110" s="707"/>
      <c r="AJ110" s="707"/>
      <c r="AK110" s="707"/>
      <c r="AL110" s="707"/>
      <c r="AM110" s="707"/>
      <c r="AN110" s="707"/>
      <c r="AO110" s="707"/>
      <c r="AP110" s="707"/>
      <c r="AQ110" s="707"/>
      <c r="AR110" s="707"/>
      <c r="AS110" s="707"/>
      <c r="AT110" s="707"/>
      <c r="AU110" s="707"/>
      <c r="AV110" s="707"/>
      <c r="AW110" s="707"/>
      <c r="AX110" s="707"/>
      <c r="AY110" s="707"/>
      <c r="AZ110" s="707"/>
      <c r="BA110" s="707"/>
      <c r="BB110" s="707"/>
      <c r="BC110" s="707"/>
      <c r="BD110" s="707"/>
      <c r="BE110" s="707"/>
      <c r="BF110" s="707"/>
      <c r="BG110" s="707"/>
      <c r="BH110" s="707"/>
      <c r="BI110" s="707"/>
      <c r="BJ110" s="707"/>
      <c r="BK110" s="707"/>
      <c r="BL110" s="707"/>
      <c r="BM110" s="707"/>
      <c r="BN110" s="707"/>
      <c r="BO110" s="707"/>
      <c r="BP110" s="707"/>
      <c r="BQ110" s="707"/>
      <c r="BR110" s="707"/>
      <c r="BS110" s="707"/>
      <c r="BT110" s="707"/>
      <c r="BU110" s="707"/>
      <c r="BV110" s="707"/>
      <c r="BW110" s="707"/>
      <c r="BX110" s="707"/>
    </row>
    <row r="111" spans="1:76" ht="15">
      <c r="A111" s="707"/>
      <c r="B111" s="707"/>
      <c r="C111" s="707"/>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7"/>
      <c r="AZ111" s="707"/>
      <c r="BA111" s="707"/>
      <c r="BB111" s="707"/>
      <c r="BC111" s="707"/>
      <c r="BD111" s="707"/>
      <c r="BE111" s="707"/>
      <c r="BF111" s="707"/>
      <c r="BG111" s="707"/>
      <c r="BH111" s="707"/>
      <c r="BI111" s="707"/>
      <c r="BJ111" s="707"/>
      <c r="BK111" s="707"/>
      <c r="BL111" s="707"/>
      <c r="BM111" s="707"/>
      <c r="BN111" s="707"/>
      <c r="BO111" s="707"/>
      <c r="BP111" s="707"/>
      <c r="BQ111" s="707"/>
      <c r="BR111" s="707"/>
      <c r="BS111" s="707"/>
      <c r="BT111" s="707"/>
      <c r="BU111" s="707"/>
      <c r="BV111" s="707"/>
      <c r="BW111" s="707"/>
      <c r="BX111" s="707"/>
    </row>
    <row r="112" spans="1:76" ht="15">
      <c r="A112" s="707"/>
      <c r="B112" s="707"/>
      <c r="C112" s="707"/>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707"/>
      <c r="AL112" s="707"/>
      <c r="AM112" s="707"/>
      <c r="AN112" s="707"/>
      <c r="AO112" s="707"/>
      <c r="AP112" s="707"/>
      <c r="AQ112" s="707"/>
      <c r="AR112" s="707"/>
      <c r="AS112" s="707"/>
      <c r="AT112" s="707"/>
      <c r="AU112" s="707"/>
      <c r="AV112" s="707"/>
      <c r="AW112" s="707"/>
      <c r="AX112" s="707"/>
      <c r="AY112" s="707"/>
      <c r="AZ112" s="707"/>
      <c r="BA112" s="707"/>
      <c r="BB112" s="707"/>
      <c r="BC112" s="707"/>
      <c r="BD112" s="707"/>
      <c r="BE112" s="707"/>
      <c r="BF112" s="707"/>
      <c r="BG112" s="707"/>
      <c r="BH112" s="707"/>
      <c r="BI112" s="707"/>
      <c r="BJ112" s="707"/>
      <c r="BK112" s="707"/>
      <c r="BL112" s="707"/>
      <c r="BM112" s="707"/>
      <c r="BN112" s="707"/>
      <c r="BO112" s="707"/>
      <c r="BP112" s="707"/>
      <c r="BQ112" s="707"/>
      <c r="BR112" s="707"/>
      <c r="BS112" s="707"/>
      <c r="BT112" s="707"/>
      <c r="BU112" s="707"/>
      <c r="BV112" s="707"/>
      <c r="BW112" s="707"/>
      <c r="BX112" s="707"/>
    </row>
    <row r="113" spans="1:76" ht="15">
      <c r="A113" s="707"/>
      <c r="B113" s="707"/>
      <c r="C113" s="707"/>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7"/>
      <c r="AY113" s="707"/>
      <c r="AZ113" s="707"/>
      <c r="BA113" s="707"/>
      <c r="BB113" s="707"/>
      <c r="BC113" s="707"/>
      <c r="BD113" s="707"/>
      <c r="BE113" s="707"/>
      <c r="BF113" s="707"/>
      <c r="BG113" s="707"/>
      <c r="BH113" s="707"/>
      <c r="BI113" s="707"/>
      <c r="BJ113" s="707"/>
      <c r="BK113" s="707"/>
      <c r="BL113" s="707"/>
      <c r="BM113" s="707"/>
      <c r="BN113" s="707"/>
      <c r="BO113" s="707"/>
      <c r="BP113" s="707"/>
      <c r="BQ113" s="707"/>
      <c r="BR113" s="707"/>
      <c r="BS113" s="707"/>
      <c r="BT113" s="707"/>
      <c r="BU113" s="707"/>
      <c r="BV113" s="707"/>
      <c r="BW113" s="707"/>
      <c r="BX113" s="707"/>
    </row>
    <row r="114" spans="1:76" ht="15">
      <c r="A114" s="707"/>
      <c r="B114" s="707"/>
      <c r="C114" s="707"/>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707"/>
      <c r="AL114" s="707"/>
      <c r="AM114" s="707"/>
      <c r="AN114" s="707"/>
      <c r="AO114" s="707"/>
      <c r="AP114" s="707"/>
      <c r="AQ114" s="707"/>
      <c r="AR114" s="707"/>
      <c r="AS114" s="707"/>
      <c r="AT114" s="707"/>
      <c r="AU114" s="707"/>
      <c r="AV114" s="707"/>
      <c r="AW114" s="707"/>
      <c r="AX114" s="707"/>
      <c r="AY114" s="707"/>
      <c r="AZ114" s="707"/>
      <c r="BA114" s="707"/>
      <c r="BB114" s="707"/>
      <c r="BC114" s="707"/>
      <c r="BD114" s="707"/>
      <c r="BE114" s="707"/>
      <c r="BF114" s="707"/>
      <c r="BG114" s="707"/>
      <c r="BH114" s="707"/>
      <c r="BI114" s="707"/>
      <c r="BJ114" s="707"/>
      <c r="BK114" s="707"/>
      <c r="BL114" s="707"/>
      <c r="BM114" s="707"/>
      <c r="BN114" s="707"/>
      <c r="BO114" s="707"/>
      <c r="BP114" s="707"/>
      <c r="BQ114" s="707"/>
      <c r="BR114" s="707"/>
      <c r="BS114" s="707"/>
      <c r="BT114" s="707"/>
      <c r="BU114" s="707"/>
      <c r="BV114" s="707"/>
      <c r="BW114" s="707"/>
      <c r="BX114" s="707"/>
    </row>
    <row r="115" spans="1:76" ht="15">
      <c r="A115" s="707"/>
      <c r="B115" s="707"/>
      <c r="C115" s="707"/>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707"/>
      <c r="AL115" s="707"/>
      <c r="AM115" s="707"/>
      <c r="AN115" s="707"/>
      <c r="AO115" s="707"/>
      <c r="AP115" s="707"/>
      <c r="AQ115" s="707"/>
      <c r="AR115" s="707"/>
      <c r="AS115" s="707"/>
      <c r="AT115" s="707"/>
      <c r="AU115" s="707"/>
      <c r="AV115" s="707"/>
      <c r="AW115" s="707"/>
      <c r="AX115" s="707"/>
      <c r="AY115" s="707"/>
      <c r="AZ115" s="707"/>
      <c r="BA115" s="707"/>
      <c r="BB115" s="707"/>
      <c r="BC115" s="707"/>
      <c r="BD115" s="707"/>
      <c r="BE115" s="707"/>
      <c r="BF115" s="707"/>
      <c r="BG115" s="707"/>
      <c r="BH115" s="707"/>
      <c r="BI115" s="707"/>
      <c r="BJ115" s="707"/>
      <c r="BK115" s="707"/>
      <c r="BL115" s="707"/>
      <c r="BM115" s="707"/>
      <c r="BN115" s="707"/>
      <c r="BO115" s="707"/>
      <c r="BP115" s="707"/>
      <c r="BQ115" s="707"/>
      <c r="BR115" s="707"/>
      <c r="BS115" s="707"/>
      <c r="BT115" s="707"/>
      <c r="BU115" s="707"/>
      <c r="BV115" s="707"/>
      <c r="BW115" s="707"/>
      <c r="BX115" s="707"/>
    </row>
    <row r="116" spans="1:76" ht="15">
      <c r="A116" s="707"/>
      <c r="B116" s="707"/>
      <c r="C116" s="707"/>
      <c r="D116" s="707"/>
      <c r="E116" s="707"/>
      <c r="F116" s="707"/>
      <c r="G116" s="707"/>
      <c r="H116" s="707"/>
      <c r="I116" s="707"/>
      <c r="J116" s="707"/>
      <c r="K116" s="707"/>
      <c r="L116" s="707"/>
      <c r="M116" s="707"/>
      <c r="N116" s="707"/>
      <c r="O116" s="707"/>
      <c r="P116" s="707"/>
      <c r="Q116" s="707"/>
      <c r="R116" s="707"/>
      <c r="S116" s="707"/>
      <c r="T116" s="707"/>
      <c r="U116" s="707"/>
      <c r="V116" s="707"/>
      <c r="W116" s="707"/>
      <c r="X116" s="707"/>
      <c r="Y116" s="707"/>
      <c r="Z116" s="707"/>
      <c r="AA116" s="707"/>
      <c r="AB116" s="707"/>
      <c r="AC116" s="707"/>
      <c r="AD116" s="707"/>
      <c r="AE116" s="707"/>
      <c r="AF116" s="707"/>
      <c r="AG116" s="707"/>
      <c r="AH116" s="707"/>
      <c r="AI116" s="707"/>
      <c r="AJ116" s="707"/>
      <c r="AK116" s="707"/>
      <c r="AL116" s="707"/>
      <c r="AM116" s="707"/>
      <c r="AN116" s="707"/>
      <c r="AO116" s="707"/>
      <c r="AP116" s="707"/>
      <c r="AQ116" s="707"/>
      <c r="AR116" s="707"/>
      <c r="AS116" s="707"/>
      <c r="AT116" s="707"/>
      <c r="AU116" s="707"/>
      <c r="AV116" s="707"/>
      <c r="AW116" s="707"/>
      <c r="AX116" s="707"/>
      <c r="AY116" s="707"/>
      <c r="AZ116" s="707"/>
      <c r="BA116" s="707"/>
      <c r="BB116" s="707"/>
      <c r="BC116" s="707"/>
      <c r="BD116" s="707"/>
      <c r="BE116" s="707"/>
      <c r="BF116" s="707"/>
      <c r="BG116" s="707"/>
      <c r="BH116" s="707"/>
      <c r="BI116" s="707"/>
      <c r="BJ116" s="707"/>
      <c r="BK116" s="707"/>
      <c r="BL116" s="707"/>
      <c r="BM116" s="707"/>
      <c r="BN116" s="707"/>
      <c r="BO116" s="707"/>
      <c r="BP116" s="707"/>
      <c r="BQ116" s="707"/>
      <c r="BR116" s="707"/>
      <c r="BS116" s="707"/>
      <c r="BT116" s="707"/>
      <c r="BU116" s="707"/>
      <c r="BV116" s="707"/>
      <c r="BW116" s="707"/>
      <c r="BX116" s="707"/>
    </row>
    <row r="117" spans="1:76" ht="15">
      <c r="A117" s="707"/>
      <c r="B117" s="707"/>
      <c r="C117" s="707"/>
      <c r="D117" s="707"/>
      <c r="E117" s="707"/>
      <c r="F117" s="707"/>
      <c r="G117" s="707"/>
      <c r="H117" s="707"/>
      <c r="I117" s="707"/>
      <c r="J117" s="707"/>
      <c r="K117" s="707"/>
      <c r="L117" s="707"/>
      <c r="M117" s="707"/>
      <c r="N117" s="707"/>
      <c r="O117" s="707"/>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707"/>
      <c r="AL117" s="707"/>
      <c r="AM117" s="707"/>
      <c r="AN117" s="707"/>
      <c r="AO117" s="707"/>
      <c r="AP117" s="707"/>
      <c r="AQ117" s="707"/>
      <c r="AR117" s="707"/>
      <c r="AS117" s="707"/>
      <c r="AT117" s="707"/>
      <c r="AU117" s="707"/>
      <c r="AV117" s="707"/>
      <c r="AW117" s="707"/>
      <c r="AX117" s="707"/>
      <c r="AY117" s="707"/>
      <c r="AZ117" s="707"/>
      <c r="BA117" s="707"/>
      <c r="BB117" s="707"/>
      <c r="BC117" s="707"/>
      <c r="BD117" s="707"/>
      <c r="BE117" s="707"/>
      <c r="BF117" s="707"/>
      <c r="BG117" s="707"/>
      <c r="BH117" s="707"/>
      <c r="BI117" s="707"/>
      <c r="BJ117" s="707"/>
      <c r="BK117" s="707"/>
      <c r="BL117" s="707"/>
      <c r="BM117" s="707"/>
      <c r="BN117" s="707"/>
      <c r="BO117" s="707"/>
      <c r="BP117" s="707"/>
      <c r="BQ117" s="707"/>
      <c r="BR117" s="707"/>
      <c r="BS117" s="707"/>
      <c r="BT117" s="707"/>
      <c r="BU117" s="707"/>
      <c r="BV117" s="707"/>
      <c r="BW117" s="707"/>
      <c r="BX117" s="707"/>
    </row>
    <row r="118" spans="1:76" ht="15">
      <c r="A118" s="707"/>
      <c r="B118" s="707"/>
      <c r="C118" s="707"/>
      <c r="D118" s="707"/>
      <c r="E118" s="707"/>
      <c r="F118" s="707"/>
      <c r="G118" s="707"/>
      <c r="H118" s="707"/>
      <c r="I118" s="707"/>
      <c r="J118" s="707"/>
      <c r="K118" s="707"/>
      <c r="L118" s="707"/>
      <c r="M118" s="707"/>
      <c r="N118" s="707"/>
      <c r="O118" s="707"/>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707"/>
      <c r="AL118" s="707"/>
      <c r="AM118" s="707"/>
      <c r="AN118" s="707"/>
      <c r="AO118" s="707"/>
      <c r="AP118" s="707"/>
      <c r="AQ118" s="707"/>
      <c r="AR118" s="707"/>
      <c r="AS118" s="707"/>
      <c r="AT118" s="707"/>
      <c r="AU118" s="707"/>
      <c r="AV118" s="707"/>
      <c r="AW118" s="707"/>
      <c r="AX118" s="707"/>
      <c r="AY118" s="707"/>
      <c r="AZ118" s="707"/>
      <c r="BA118" s="707"/>
      <c r="BB118" s="707"/>
      <c r="BC118" s="707"/>
      <c r="BD118" s="707"/>
      <c r="BE118" s="707"/>
      <c r="BF118" s="707"/>
      <c r="BG118" s="707"/>
      <c r="BH118" s="707"/>
      <c r="BI118" s="707"/>
      <c r="BJ118" s="707"/>
      <c r="BK118" s="707"/>
      <c r="BL118" s="707"/>
      <c r="BM118" s="707"/>
      <c r="BN118" s="707"/>
      <c r="BO118" s="707"/>
      <c r="BP118" s="707"/>
      <c r="BQ118" s="707"/>
      <c r="BR118" s="707"/>
      <c r="BS118" s="707"/>
      <c r="BT118" s="707"/>
      <c r="BU118" s="707"/>
      <c r="BV118" s="707"/>
      <c r="BW118" s="707"/>
      <c r="BX118" s="707"/>
    </row>
    <row r="119" spans="1:76" ht="15">
      <c r="A119" s="707"/>
      <c r="B119" s="707"/>
      <c r="C119" s="707"/>
      <c r="D119" s="707"/>
      <c r="E119" s="707"/>
      <c r="F119" s="707"/>
      <c r="G119" s="707"/>
      <c r="H119" s="707"/>
      <c r="I119" s="707"/>
      <c r="J119" s="707"/>
      <c r="K119" s="707"/>
      <c r="L119" s="707"/>
      <c r="M119" s="707"/>
      <c r="N119" s="707"/>
      <c r="O119" s="707"/>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c r="BA119" s="707"/>
      <c r="BB119" s="707"/>
      <c r="BC119" s="707"/>
      <c r="BD119" s="707"/>
      <c r="BE119" s="707"/>
      <c r="BF119" s="707"/>
      <c r="BG119" s="707"/>
      <c r="BH119" s="707"/>
      <c r="BI119" s="707"/>
      <c r="BJ119" s="707"/>
      <c r="BK119" s="707"/>
      <c r="BL119" s="707"/>
      <c r="BM119" s="707"/>
      <c r="BN119" s="707"/>
      <c r="BO119" s="707"/>
      <c r="BP119" s="707"/>
      <c r="BQ119" s="707"/>
      <c r="BR119" s="707"/>
      <c r="BS119" s="707"/>
      <c r="BT119" s="707"/>
      <c r="BU119" s="707"/>
      <c r="BV119" s="707"/>
      <c r="BW119" s="707"/>
      <c r="BX119" s="707"/>
    </row>
    <row r="120" spans="1:76" ht="15">
      <c r="A120" s="707"/>
      <c r="B120" s="707"/>
      <c r="C120" s="707"/>
      <c r="D120" s="707"/>
      <c r="E120" s="707"/>
      <c r="F120" s="707"/>
      <c r="G120" s="707"/>
      <c r="H120" s="707"/>
      <c r="I120" s="707"/>
      <c r="J120" s="707"/>
      <c r="K120" s="707"/>
      <c r="L120" s="707"/>
      <c r="M120" s="707"/>
      <c r="N120" s="707"/>
      <c r="O120" s="707"/>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707"/>
      <c r="AL120" s="707"/>
      <c r="AM120" s="707"/>
      <c r="AN120" s="707"/>
      <c r="AO120" s="707"/>
      <c r="AP120" s="707"/>
      <c r="AQ120" s="707"/>
      <c r="AR120" s="707"/>
      <c r="AS120" s="707"/>
      <c r="AT120" s="707"/>
      <c r="AU120" s="707"/>
      <c r="AV120" s="707"/>
      <c r="AW120" s="707"/>
      <c r="AX120" s="707"/>
      <c r="AY120" s="707"/>
      <c r="AZ120" s="707"/>
      <c r="BA120" s="707"/>
      <c r="BB120" s="707"/>
      <c r="BC120" s="707"/>
      <c r="BD120" s="707"/>
      <c r="BE120" s="707"/>
      <c r="BF120" s="707"/>
      <c r="BG120" s="707"/>
      <c r="BH120" s="707"/>
      <c r="BI120" s="707"/>
      <c r="BJ120" s="707"/>
      <c r="BK120" s="707"/>
      <c r="BL120" s="707"/>
      <c r="BM120" s="707"/>
      <c r="BN120" s="707"/>
      <c r="BO120" s="707"/>
      <c r="BP120" s="707"/>
      <c r="BQ120" s="707"/>
      <c r="BR120" s="707"/>
      <c r="BS120" s="707"/>
      <c r="BT120" s="707"/>
      <c r="BU120" s="707"/>
      <c r="BV120" s="707"/>
      <c r="BW120" s="707"/>
      <c r="BX120" s="707"/>
    </row>
    <row r="121" spans="1:76" ht="15">
      <c r="A121" s="707"/>
      <c r="B121" s="707"/>
      <c r="C121" s="707"/>
      <c r="D121" s="707"/>
      <c r="E121" s="707"/>
      <c r="F121" s="707"/>
      <c r="G121" s="707"/>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7"/>
      <c r="AY121" s="707"/>
      <c r="AZ121" s="707"/>
      <c r="BA121" s="707"/>
      <c r="BB121" s="707"/>
      <c r="BC121" s="707"/>
      <c r="BD121" s="707"/>
      <c r="BE121" s="707"/>
      <c r="BF121" s="707"/>
      <c r="BG121" s="707"/>
      <c r="BH121" s="707"/>
      <c r="BI121" s="707"/>
      <c r="BJ121" s="707"/>
      <c r="BK121" s="707"/>
      <c r="BL121" s="707"/>
      <c r="BM121" s="707"/>
      <c r="BN121" s="707"/>
      <c r="BO121" s="707"/>
      <c r="BP121" s="707"/>
      <c r="BQ121" s="707"/>
      <c r="BR121" s="707"/>
      <c r="BS121" s="707"/>
      <c r="BT121" s="707"/>
      <c r="BU121" s="707"/>
      <c r="BV121" s="707"/>
      <c r="BW121" s="707"/>
      <c r="BX121" s="707"/>
    </row>
    <row r="122" spans="1:76" ht="15">
      <c r="A122" s="707"/>
      <c r="B122" s="707"/>
      <c r="C122" s="707"/>
      <c r="D122" s="707"/>
      <c r="E122" s="707"/>
      <c r="F122" s="707"/>
      <c r="G122" s="707"/>
      <c r="H122" s="707"/>
      <c r="I122" s="707"/>
      <c r="J122" s="707"/>
      <c r="K122" s="707"/>
      <c r="L122" s="707"/>
      <c r="M122" s="707"/>
      <c r="N122" s="707"/>
      <c r="O122" s="707"/>
      <c r="P122" s="707"/>
      <c r="Q122" s="707"/>
      <c r="R122" s="707"/>
      <c r="S122" s="707"/>
      <c r="T122" s="707"/>
      <c r="U122" s="707"/>
      <c r="V122" s="707"/>
      <c r="W122" s="707"/>
      <c r="X122" s="707"/>
      <c r="Y122" s="707"/>
      <c r="Z122" s="707"/>
      <c r="AA122" s="707"/>
      <c r="AB122" s="707"/>
      <c r="AC122" s="707"/>
      <c r="AD122" s="707"/>
      <c r="AE122" s="707"/>
      <c r="AF122" s="707"/>
      <c r="AG122" s="707"/>
      <c r="AH122" s="707"/>
      <c r="AI122" s="707"/>
      <c r="AJ122" s="707"/>
      <c r="AK122" s="707"/>
      <c r="AL122" s="707"/>
      <c r="AM122" s="707"/>
      <c r="AN122" s="707"/>
      <c r="AO122" s="707"/>
      <c r="AP122" s="707"/>
      <c r="AQ122" s="707"/>
      <c r="AR122" s="707"/>
      <c r="AS122" s="707"/>
      <c r="AT122" s="707"/>
      <c r="AU122" s="707"/>
      <c r="AV122" s="707"/>
      <c r="AW122" s="707"/>
      <c r="AX122" s="707"/>
      <c r="AY122" s="707"/>
      <c r="AZ122" s="707"/>
      <c r="BA122" s="707"/>
      <c r="BB122" s="707"/>
      <c r="BC122" s="707"/>
      <c r="BD122" s="707"/>
      <c r="BE122" s="707"/>
      <c r="BF122" s="707"/>
      <c r="BG122" s="707"/>
      <c r="BH122" s="707"/>
      <c r="BI122" s="707"/>
      <c r="BJ122" s="707"/>
      <c r="BK122" s="707"/>
      <c r="BL122" s="707"/>
      <c r="BM122" s="707"/>
      <c r="BN122" s="707"/>
      <c r="BO122" s="707"/>
      <c r="BP122" s="707"/>
      <c r="BQ122" s="707"/>
      <c r="BR122" s="707"/>
      <c r="BS122" s="707"/>
      <c r="BT122" s="707"/>
      <c r="BU122" s="707"/>
      <c r="BV122" s="707"/>
      <c r="BW122" s="707"/>
      <c r="BX122" s="707"/>
    </row>
    <row r="123" spans="1:76" ht="15">
      <c r="A123" s="707"/>
      <c r="B123" s="707"/>
      <c r="C123" s="707"/>
      <c r="D123" s="707"/>
      <c r="E123" s="707"/>
      <c r="F123" s="707"/>
      <c r="G123" s="707"/>
      <c r="H123" s="707"/>
      <c r="I123" s="707"/>
      <c r="J123" s="707"/>
      <c r="K123" s="707"/>
      <c r="L123" s="707"/>
      <c r="M123" s="707"/>
      <c r="N123" s="707"/>
      <c r="O123" s="707"/>
      <c r="P123" s="707"/>
      <c r="Q123" s="707"/>
      <c r="R123" s="707"/>
      <c r="S123" s="707"/>
      <c r="T123" s="707"/>
      <c r="U123" s="707"/>
      <c r="V123" s="707"/>
      <c r="W123" s="707"/>
      <c r="X123" s="707"/>
      <c r="Y123" s="707"/>
      <c r="Z123" s="707"/>
      <c r="AA123" s="707"/>
      <c r="AB123" s="707"/>
      <c r="AC123" s="707"/>
      <c r="AD123" s="707"/>
      <c r="AE123" s="707"/>
      <c r="AF123" s="707"/>
      <c r="AG123" s="707"/>
      <c r="AH123" s="707"/>
      <c r="AI123" s="707"/>
      <c r="AJ123" s="707"/>
      <c r="AK123" s="707"/>
      <c r="AL123" s="707"/>
      <c r="AM123" s="707"/>
      <c r="AN123" s="707"/>
      <c r="AO123" s="707"/>
      <c r="AP123" s="707"/>
      <c r="AQ123" s="707"/>
      <c r="AR123" s="707"/>
      <c r="AS123" s="707"/>
      <c r="AT123" s="707"/>
      <c r="AU123" s="707"/>
      <c r="AV123" s="707"/>
      <c r="AW123" s="707"/>
      <c r="AX123" s="707"/>
      <c r="AY123" s="707"/>
      <c r="AZ123" s="707"/>
      <c r="BA123" s="707"/>
      <c r="BB123" s="707"/>
      <c r="BC123" s="707"/>
      <c r="BD123" s="707"/>
      <c r="BE123" s="707"/>
      <c r="BF123" s="707"/>
      <c r="BG123" s="707"/>
      <c r="BH123" s="707"/>
      <c r="BI123" s="707"/>
      <c r="BJ123" s="707"/>
      <c r="BK123" s="707"/>
      <c r="BL123" s="707"/>
      <c r="BM123" s="707"/>
      <c r="BN123" s="707"/>
      <c r="BO123" s="707"/>
      <c r="BP123" s="707"/>
      <c r="BQ123" s="707"/>
      <c r="BR123" s="707"/>
      <c r="BS123" s="707"/>
      <c r="BT123" s="707"/>
      <c r="BU123" s="707"/>
      <c r="BV123" s="707"/>
      <c r="BW123" s="707"/>
      <c r="BX123" s="707"/>
    </row>
    <row r="124" spans="1:76" ht="15">
      <c r="A124" s="707"/>
      <c r="B124" s="707"/>
      <c r="C124" s="707"/>
      <c r="D124" s="707"/>
      <c r="E124" s="707"/>
      <c r="F124" s="707"/>
      <c r="G124" s="707"/>
      <c r="H124" s="707"/>
      <c r="I124" s="707"/>
      <c r="J124" s="707"/>
      <c r="K124" s="707"/>
      <c r="L124" s="707"/>
      <c r="M124" s="707"/>
      <c r="N124" s="707"/>
      <c r="O124" s="707"/>
      <c r="P124" s="707"/>
      <c r="Q124" s="707"/>
      <c r="R124" s="707"/>
      <c r="S124" s="707"/>
      <c r="T124" s="707"/>
      <c r="U124" s="707"/>
      <c r="V124" s="707"/>
      <c r="W124" s="707"/>
      <c r="X124" s="707"/>
      <c r="Y124" s="707"/>
      <c r="Z124" s="707"/>
      <c r="AA124" s="707"/>
      <c r="AB124" s="707"/>
      <c r="AC124" s="707"/>
      <c r="AD124" s="707"/>
      <c r="AE124" s="707"/>
      <c r="AF124" s="707"/>
      <c r="AG124" s="707"/>
      <c r="AH124" s="707"/>
      <c r="AI124" s="707"/>
      <c r="AJ124" s="707"/>
      <c r="AK124" s="707"/>
      <c r="AL124" s="707"/>
      <c r="AM124" s="707"/>
      <c r="AN124" s="707"/>
      <c r="AO124" s="707"/>
      <c r="AP124" s="707"/>
      <c r="AQ124" s="707"/>
      <c r="AR124" s="707"/>
      <c r="AS124" s="707"/>
      <c r="AT124" s="707"/>
      <c r="AU124" s="707"/>
      <c r="AV124" s="707"/>
      <c r="AW124" s="707"/>
      <c r="AX124" s="707"/>
      <c r="AY124" s="707"/>
      <c r="AZ124" s="707"/>
      <c r="BA124" s="707"/>
      <c r="BB124" s="707"/>
      <c r="BC124" s="707"/>
      <c r="BD124" s="707"/>
      <c r="BE124" s="707"/>
      <c r="BF124" s="707"/>
      <c r="BG124" s="707"/>
      <c r="BH124" s="707"/>
      <c r="BI124" s="707"/>
      <c r="BJ124" s="707"/>
      <c r="BK124" s="707"/>
      <c r="BL124" s="707"/>
      <c r="BM124" s="707"/>
      <c r="BN124" s="707"/>
      <c r="BO124" s="707"/>
      <c r="BP124" s="707"/>
      <c r="BQ124" s="707"/>
      <c r="BR124" s="707"/>
      <c r="BS124" s="707"/>
      <c r="BT124" s="707"/>
      <c r="BU124" s="707"/>
      <c r="BV124" s="707"/>
      <c r="BW124" s="707"/>
      <c r="BX124" s="707"/>
    </row>
    <row r="125" spans="1:76" ht="15">
      <c r="A125" s="707"/>
      <c r="B125" s="707"/>
      <c r="C125" s="707"/>
      <c r="D125" s="707"/>
      <c r="E125" s="707"/>
      <c r="F125" s="707"/>
      <c r="G125" s="707"/>
      <c r="H125" s="707"/>
      <c r="I125" s="707"/>
      <c r="J125" s="707"/>
      <c r="K125" s="707"/>
      <c r="L125" s="707"/>
      <c r="M125" s="707"/>
      <c r="N125" s="707"/>
      <c r="O125" s="707"/>
      <c r="P125" s="707"/>
      <c r="Q125" s="707"/>
      <c r="R125" s="707"/>
      <c r="S125" s="707"/>
      <c r="T125" s="707"/>
      <c r="U125" s="707"/>
      <c r="V125" s="707"/>
      <c r="W125" s="707"/>
      <c r="X125" s="707"/>
      <c r="Y125" s="707"/>
      <c r="Z125" s="707"/>
      <c r="AA125" s="707"/>
      <c r="AB125" s="707"/>
      <c r="AC125" s="707"/>
      <c r="AD125" s="707"/>
      <c r="AE125" s="707"/>
      <c r="AF125" s="707"/>
      <c r="AG125" s="707"/>
      <c r="AH125" s="707"/>
      <c r="AI125" s="707"/>
      <c r="AJ125" s="707"/>
      <c r="AK125" s="707"/>
      <c r="AL125" s="707"/>
      <c r="AM125" s="707"/>
      <c r="AN125" s="707"/>
      <c r="AO125" s="707"/>
      <c r="AP125" s="707"/>
      <c r="AQ125" s="707"/>
      <c r="AR125" s="707"/>
      <c r="AS125" s="707"/>
      <c r="AT125" s="707"/>
      <c r="AU125" s="707"/>
      <c r="AV125" s="707"/>
      <c r="AW125" s="707"/>
      <c r="AX125" s="707"/>
      <c r="AY125" s="707"/>
      <c r="AZ125" s="707"/>
      <c r="BA125" s="707"/>
      <c r="BB125" s="707"/>
      <c r="BC125" s="707"/>
      <c r="BD125" s="707"/>
      <c r="BE125" s="707"/>
      <c r="BF125" s="707"/>
      <c r="BG125" s="707"/>
      <c r="BH125" s="707"/>
      <c r="BI125" s="707"/>
      <c r="BJ125" s="707"/>
      <c r="BK125" s="707"/>
      <c r="BL125" s="707"/>
      <c r="BM125" s="707"/>
      <c r="BN125" s="707"/>
      <c r="BO125" s="707"/>
      <c r="BP125" s="707"/>
      <c r="BQ125" s="707"/>
      <c r="BR125" s="707"/>
      <c r="BS125" s="707"/>
      <c r="BT125" s="707"/>
      <c r="BU125" s="707"/>
      <c r="BV125" s="707"/>
      <c r="BW125" s="707"/>
      <c r="BX125" s="707"/>
    </row>
    <row r="126" spans="1:76" ht="15">
      <c r="A126" s="707"/>
      <c r="B126" s="707"/>
      <c r="C126" s="707"/>
      <c r="D126" s="707"/>
      <c r="E126" s="707"/>
      <c r="F126" s="707"/>
      <c r="G126" s="707"/>
      <c r="H126" s="707"/>
      <c r="I126" s="707"/>
      <c r="J126" s="707"/>
      <c r="K126" s="707"/>
      <c r="L126" s="707"/>
      <c r="M126" s="707"/>
      <c r="N126" s="707"/>
      <c r="O126" s="707"/>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c r="BA126" s="707"/>
      <c r="BB126" s="707"/>
      <c r="BC126" s="707"/>
      <c r="BD126" s="707"/>
      <c r="BE126" s="707"/>
      <c r="BF126" s="707"/>
      <c r="BG126" s="707"/>
      <c r="BH126" s="707"/>
      <c r="BI126" s="707"/>
      <c r="BJ126" s="707"/>
      <c r="BK126" s="707"/>
      <c r="BL126" s="707"/>
      <c r="BM126" s="707"/>
      <c r="BN126" s="707"/>
      <c r="BO126" s="707"/>
      <c r="BP126" s="707"/>
      <c r="BQ126" s="707"/>
      <c r="BR126" s="707"/>
      <c r="BS126" s="707"/>
      <c r="BT126" s="707"/>
      <c r="BU126" s="707"/>
      <c r="BV126" s="707"/>
      <c r="BW126" s="707"/>
      <c r="BX126" s="707"/>
    </row>
    <row r="127" spans="1:76" ht="15">
      <c r="A127" s="707"/>
      <c r="B127" s="707"/>
      <c r="C127" s="707"/>
      <c r="D127" s="707"/>
      <c r="E127" s="707"/>
      <c r="F127" s="707"/>
      <c r="G127" s="707"/>
      <c r="H127" s="707"/>
      <c r="I127" s="707"/>
      <c r="J127" s="707"/>
      <c r="K127" s="707"/>
      <c r="L127" s="707"/>
      <c r="M127" s="707"/>
      <c r="N127" s="707"/>
      <c r="O127" s="707"/>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7"/>
      <c r="AL127" s="707"/>
      <c r="AM127" s="707"/>
      <c r="AN127" s="707"/>
      <c r="AO127" s="707"/>
      <c r="AP127" s="707"/>
      <c r="AQ127" s="707"/>
      <c r="AR127" s="707"/>
      <c r="AS127" s="707"/>
      <c r="AT127" s="707"/>
      <c r="AU127" s="707"/>
      <c r="AV127" s="707"/>
      <c r="AW127" s="707"/>
      <c r="AX127" s="707"/>
      <c r="AY127" s="707"/>
      <c r="AZ127" s="707"/>
      <c r="BA127" s="707"/>
      <c r="BB127" s="707"/>
      <c r="BC127" s="707"/>
      <c r="BD127" s="707"/>
      <c r="BE127" s="707"/>
      <c r="BF127" s="707"/>
      <c r="BG127" s="707"/>
      <c r="BH127" s="707"/>
      <c r="BI127" s="707"/>
      <c r="BJ127" s="707"/>
      <c r="BK127" s="707"/>
      <c r="BL127" s="707"/>
      <c r="BM127" s="707"/>
      <c r="BN127" s="707"/>
      <c r="BO127" s="707"/>
      <c r="BP127" s="707"/>
      <c r="BQ127" s="707"/>
      <c r="BR127" s="707"/>
      <c r="BS127" s="707"/>
      <c r="BT127" s="707"/>
      <c r="BU127" s="707"/>
      <c r="BV127" s="707"/>
      <c r="BW127" s="707"/>
      <c r="BX127" s="707"/>
    </row>
    <row r="128" spans="1:76" ht="15">
      <c r="A128" s="707"/>
      <c r="B128" s="707"/>
      <c r="C128" s="707"/>
      <c r="D128" s="707"/>
      <c r="E128" s="707"/>
      <c r="F128" s="707"/>
      <c r="G128" s="707"/>
      <c r="H128" s="707"/>
      <c r="I128" s="707"/>
      <c r="J128" s="707"/>
      <c r="K128" s="707"/>
      <c r="L128" s="707"/>
      <c r="M128" s="707"/>
      <c r="N128" s="707"/>
      <c r="O128" s="707"/>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707"/>
      <c r="AX128" s="707"/>
      <c r="AY128" s="707"/>
      <c r="AZ128" s="707"/>
      <c r="BA128" s="707"/>
      <c r="BB128" s="707"/>
      <c r="BC128" s="707"/>
      <c r="BD128" s="707"/>
      <c r="BE128" s="707"/>
      <c r="BF128" s="707"/>
      <c r="BG128" s="707"/>
      <c r="BH128" s="707"/>
      <c r="BI128" s="707"/>
      <c r="BJ128" s="707"/>
      <c r="BK128" s="707"/>
      <c r="BL128" s="707"/>
      <c r="BM128" s="707"/>
      <c r="BN128" s="707"/>
      <c r="BO128" s="707"/>
      <c r="BP128" s="707"/>
      <c r="BQ128" s="707"/>
      <c r="BR128" s="707"/>
      <c r="BS128" s="707"/>
      <c r="BT128" s="707"/>
      <c r="BU128" s="707"/>
      <c r="BV128" s="707"/>
      <c r="BW128" s="707"/>
      <c r="BX128" s="707"/>
    </row>
    <row r="129" spans="1:76" ht="15">
      <c r="A129" s="707"/>
      <c r="B129" s="707"/>
      <c r="C129" s="707"/>
      <c r="D129" s="707"/>
      <c r="E129" s="707"/>
      <c r="F129" s="707"/>
      <c r="G129" s="707"/>
      <c r="H129" s="707"/>
      <c r="I129" s="707"/>
      <c r="J129" s="707"/>
      <c r="K129" s="707"/>
      <c r="L129" s="707"/>
      <c r="M129" s="707"/>
      <c r="N129" s="707"/>
      <c r="O129" s="707"/>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707"/>
      <c r="AL129" s="707"/>
      <c r="AM129" s="707"/>
      <c r="AN129" s="707"/>
      <c r="AO129" s="707"/>
      <c r="AP129" s="707"/>
      <c r="AQ129" s="707"/>
      <c r="AR129" s="707"/>
      <c r="AS129" s="707"/>
      <c r="AT129" s="707"/>
      <c r="AU129" s="707"/>
      <c r="AV129" s="707"/>
      <c r="AW129" s="707"/>
      <c r="AX129" s="707"/>
      <c r="AY129" s="707"/>
      <c r="AZ129" s="707"/>
      <c r="BA129" s="707"/>
      <c r="BB129" s="707"/>
      <c r="BC129" s="707"/>
      <c r="BD129" s="707"/>
      <c r="BE129" s="707"/>
      <c r="BF129" s="707"/>
      <c r="BG129" s="707"/>
      <c r="BH129" s="707"/>
      <c r="BI129" s="707"/>
      <c r="BJ129" s="707"/>
      <c r="BK129" s="707"/>
      <c r="BL129" s="707"/>
      <c r="BM129" s="707"/>
      <c r="BN129" s="707"/>
      <c r="BO129" s="707"/>
      <c r="BP129" s="707"/>
      <c r="BQ129" s="707"/>
      <c r="BR129" s="707"/>
      <c r="BS129" s="707"/>
      <c r="BT129" s="707"/>
      <c r="BU129" s="707"/>
      <c r="BV129" s="707"/>
      <c r="BW129" s="707"/>
      <c r="BX129" s="707"/>
    </row>
    <row r="130" spans="1:76" ht="15">
      <c r="A130" s="707"/>
      <c r="B130" s="707"/>
      <c r="C130" s="707"/>
      <c r="D130" s="707"/>
      <c r="E130" s="707"/>
      <c r="F130" s="707"/>
      <c r="G130" s="707"/>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7"/>
      <c r="AY130" s="707"/>
      <c r="AZ130" s="707"/>
      <c r="BA130" s="707"/>
      <c r="BB130" s="707"/>
      <c r="BC130" s="707"/>
      <c r="BD130" s="707"/>
      <c r="BE130" s="707"/>
      <c r="BF130" s="707"/>
      <c r="BG130" s="707"/>
      <c r="BH130" s="707"/>
      <c r="BI130" s="707"/>
      <c r="BJ130" s="707"/>
      <c r="BK130" s="707"/>
      <c r="BL130" s="707"/>
      <c r="BM130" s="707"/>
      <c r="BN130" s="707"/>
      <c r="BO130" s="707"/>
      <c r="BP130" s="707"/>
      <c r="BQ130" s="707"/>
      <c r="BR130" s="707"/>
      <c r="BS130" s="707"/>
      <c r="BT130" s="707"/>
      <c r="BU130" s="707"/>
      <c r="BV130" s="707"/>
      <c r="BW130" s="707"/>
      <c r="BX130" s="707"/>
    </row>
    <row r="131" spans="1:76" ht="15">
      <c r="A131" s="707"/>
      <c r="B131" s="707"/>
      <c r="C131" s="707"/>
      <c r="D131" s="707"/>
      <c r="E131" s="707"/>
      <c r="F131" s="707"/>
      <c r="G131" s="707"/>
      <c r="H131" s="707"/>
      <c r="I131" s="707"/>
      <c r="J131" s="707"/>
      <c r="K131" s="707"/>
      <c r="L131" s="707"/>
      <c r="M131" s="707"/>
      <c r="N131" s="707"/>
      <c r="O131" s="707"/>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7"/>
      <c r="AL131" s="707"/>
      <c r="AM131" s="707"/>
      <c r="AN131" s="707"/>
      <c r="AO131" s="707"/>
      <c r="AP131" s="707"/>
      <c r="AQ131" s="707"/>
      <c r="AR131" s="707"/>
      <c r="AS131" s="707"/>
      <c r="AT131" s="707"/>
      <c r="AU131" s="707"/>
      <c r="AV131" s="707"/>
      <c r="AW131" s="707"/>
      <c r="AX131" s="707"/>
      <c r="AY131" s="707"/>
      <c r="AZ131" s="707"/>
      <c r="BA131" s="707"/>
      <c r="BB131" s="707"/>
      <c r="BC131" s="707"/>
      <c r="BD131" s="707"/>
      <c r="BE131" s="707"/>
      <c r="BF131" s="707"/>
      <c r="BG131" s="707"/>
      <c r="BH131" s="707"/>
      <c r="BI131" s="707"/>
      <c r="BJ131" s="707"/>
      <c r="BK131" s="707"/>
      <c r="BL131" s="707"/>
      <c r="BM131" s="707"/>
      <c r="BN131" s="707"/>
      <c r="BO131" s="707"/>
      <c r="BP131" s="707"/>
      <c r="BQ131" s="707"/>
      <c r="BR131" s="707"/>
      <c r="BS131" s="707"/>
      <c r="BT131" s="707"/>
      <c r="BU131" s="707"/>
      <c r="BV131" s="707"/>
      <c r="BW131" s="707"/>
      <c r="BX131" s="707"/>
    </row>
    <row r="132" spans="1:76" ht="15">
      <c r="A132" s="707"/>
      <c r="B132" s="707"/>
      <c r="C132" s="707"/>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7"/>
      <c r="AY132" s="707"/>
      <c r="AZ132" s="707"/>
      <c r="BA132" s="707"/>
      <c r="BB132" s="707"/>
      <c r="BC132" s="707"/>
      <c r="BD132" s="707"/>
      <c r="BE132" s="707"/>
      <c r="BF132" s="707"/>
      <c r="BG132" s="707"/>
      <c r="BH132" s="707"/>
      <c r="BI132" s="707"/>
      <c r="BJ132" s="707"/>
      <c r="BK132" s="707"/>
      <c r="BL132" s="707"/>
      <c r="BM132" s="707"/>
      <c r="BN132" s="707"/>
      <c r="BO132" s="707"/>
      <c r="BP132" s="707"/>
      <c r="BQ132" s="707"/>
      <c r="BR132" s="707"/>
      <c r="BS132" s="707"/>
      <c r="BT132" s="707"/>
      <c r="BU132" s="707"/>
      <c r="BV132" s="707"/>
      <c r="BW132" s="707"/>
      <c r="BX132" s="707"/>
    </row>
    <row r="133" spans="1:76" ht="15">
      <c r="A133" s="707"/>
      <c r="B133" s="707"/>
      <c r="C133" s="707"/>
      <c r="D133" s="707"/>
      <c r="E133" s="707"/>
      <c r="F133" s="707"/>
      <c r="G133" s="707"/>
      <c r="H133" s="707"/>
      <c r="I133" s="707"/>
      <c r="J133" s="707"/>
      <c r="K133" s="707"/>
      <c r="L133" s="707"/>
      <c r="M133" s="707"/>
      <c r="N133" s="707"/>
      <c r="O133" s="707"/>
      <c r="P133" s="707"/>
      <c r="Q133" s="707"/>
      <c r="R133" s="707"/>
      <c r="S133" s="707"/>
      <c r="T133" s="707"/>
      <c r="U133" s="707"/>
      <c r="V133" s="707"/>
      <c r="W133" s="707"/>
      <c r="X133" s="707"/>
      <c r="Y133" s="707"/>
      <c r="Z133" s="707"/>
      <c r="AA133" s="707"/>
      <c r="AB133" s="707"/>
      <c r="AC133" s="707"/>
      <c r="AD133" s="707"/>
      <c r="AE133" s="707"/>
      <c r="AF133" s="707"/>
      <c r="AG133" s="707"/>
      <c r="AH133" s="707"/>
      <c r="AI133" s="707"/>
      <c r="AJ133" s="707"/>
      <c r="AK133" s="707"/>
      <c r="AL133" s="707"/>
      <c r="AM133" s="707"/>
      <c r="AN133" s="707"/>
      <c r="AO133" s="707"/>
      <c r="AP133" s="707"/>
      <c r="AQ133" s="707"/>
      <c r="AR133" s="707"/>
      <c r="AS133" s="707"/>
      <c r="AT133" s="707"/>
      <c r="AU133" s="707"/>
      <c r="AV133" s="707"/>
      <c r="AW133" s="707"/>
      <c r="AX133" s="707"/>
      <c r="AY133" s="707"/>
      <c r="AZ133" s="707"/>
      <c r="BA133" s="707"/>
      <c r="BB133" s="707"/>
      <c r="BC133" s="707"/>
      <c r="BD133" s="707"/>
      <c r="BE133" s="707"/>
      <c r="BF133" s="707"/>
      <c r="BG133" s="707"/>
      <c r="BH133" s="707"/>
      <c r="BI133" s="707"/>
      <c r="BJ133" s="707"/>
      <c r="BK133" s="707"/>
      <c r="BL133" s="707"/>
      <c r="BM133" s="707"/>
      <c r="BN133" s="707"/>
      <c r="BO133" s="707"/>
      <c r="BP133" s="707"/>
      <c r="BQ133" s="707"/>
      <c r="BR133" s="707"/>
      <c r="BS133" s="707"/>
      <c r="BT133" s="707"/>
      <c r="BU133" s="707"/>
      <c r="BV133" s="707"/>
      <c r="BW133" s="707"/>
      <c r="BX133" s="707"/>
    </row>
    <row r="134" spans="1:76" ht="15">
      <c r="A134" s="707"/>
      <c r="B134" s="70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c r="AB134" s="707"/>
      <c r="AC134" s="707"/>
      <c r="AD134" s="707"/>
      <c r="AE134" s="707"/>
      <c r="AF134" s="707"/>
      <c r="AG134" s="707"/>
      <c r="AH134" s="707"/>
      <c r="AI134" s="707"/>
      <c r="AJ134" s="707"/>
      <c r="AK134" s="707"/>
      <c r="AL134" s="707"/>
      <c r="AM134" s="707"/>
      <c r="AN134" s="707"/>
      <c r="AO134" s="707"/>
      <c r="AP134" s="707"/>
      <c r="AQ134" s="707"/>
      <c r="AR134" s="707"/>
      <c r="AS134" s="707"/>
      <c r="AT134" s="707"/>
      <c r="AU134" s="707"/>
      <c r="AV134" s="707"/>
      <c r="AW134" s="707"/>
      <c r="AX134" s="707"/>
      <c r="AY134" s="707"/>
      <c r="AZ134" s="707"/>
      <c r="BA134" s="707"/>
      <c r="BB134" s="707"/>
      <c r="BC134" s="707"/>
      <c r="BD134" s="707"/>
      <c r="BE134" s="707"/>
      <c r="BF134" s="707"/>
      <c r="BG134" s="707"/>
      <c r="BH134" s="707"/>
      <c r="BI134" s="707"/>
      <c r="BJ134" s="707"/>
      <c r="BK134" s="707"/>
      <c r="BL134" s="707"/>
      <c r="BM134" s="707"/>
      <c r="BN134" s="707"/>
      <c r="BO134" s="707"/>
      <c r="BP134" s="707"/>
      <c r="BQ134" s="707"/>
      <c r="BR134" s="707"/>
      <c r="BS134" s="707"/>
      <c r="BT134" s="707"/>
      <c r="BU134" s="707"/>
      <c r="BV134" s="707"/>
      <c r="BW134" s="707"/>
      <c r="BX134" s="707"/>
    </row>
    <row r="135" spans="1:76" ht="15">
      <c r="A135" s="707"/>
      <c r="B135" s="707"/>
      <c r="C135" s="707"/>
      <c r="D135" s="707"/>
      <c r="E135" s="707"/>
      <c r="F135" s="707"/>
      <c r="G135" s="707"/>
      <c r="H135" s="707"/>
      <c r="I135" s="707"/>
      <c r="J135" s="707"/>
      <c r="K135" s="707"/>
      <c r="L135" s="707"/>
      <c r="M135" s="707"/>
      <c r="N135" s="707"/>
      <c r="O135" s="707"/>
      <c r="P135" s="707"/>
      <c r="Q135" s="707"/>
      <c r="R135" s="707"/>
      <c r="S135" s="707"/>
      <c r="T135" s="707"/>
      <c r="U135" s="707"/>
      <c r="V135" s="707"/>
      <c r="W135" s="707"/>
      <c r="X135" s="707"/>
      <c r="Y135" s="707"/>
      <c r="Z135" s="707"/>
      <c r="AA135" s="707"/>
      <c r="AB135" s="707"/>
      <c r="AC135" s="707"/>
      <c r="AD135" s="707"/>
      <c r="AE135" s="707"/>
      <c r="AF135" s="707"/>
      <c r="AG135" s="707"/>
      <c r="AH135" s="707"/>
      <c r="AI135" s="707"/>
      <c r="AJ135" s="707"/>
      <c r="AK135" s="707"/>
      <c r="AL135" s="707"/>
      <c r="AM135" s="707"/>
      <c r="AN135" s="707"/>
      <c r="AO135" s="707"/>
      <c r="AP135" s="707"/>
      <c r="AQ135" s="707"/>
      <c r="AR135" s="707"/>
      <c r="AS135" s="707"/>
      <c r="AT135" s="707"/>
      <c r="AU135" s="707"/>
      <c r="AV135" s="707"/>
      <c r="AW135" s="707"/>
      <c r="AX135" s="707"/>
      <c r="AY135" s="707"/>
      <c r="AZ135" s="707"/>
      <c r="BA135" s="707"/>
      <c r="BB135" s="707"/>
      <c r="BC135" s="707"/>
      <c r="BD135" s="707"/>
      <c r="BE135" s="707"/>
      <c r="BF135" s="707"/>
      <c r="BG135" s="707"/>
      <c r="BH135" s="707"/>
      <c r="BI135" s="707"/>
      <c r="BJ135" s="707"/>
      <c r="BK135" s="707"/>
      <c r="BL135" s="707"/>
      <c r="BM135" s="707"/>
      <c r="BN135" s="707"/>
      <c r="BO135" s="707"/>
      <c r="BP135" s="707"/>
      <c r="BQ135" s="707"/>
      <c r="BR135" s="707"/>
      <c r="BS135" s="707"/>
      <c r="BT135" s="707"/>
      <c r="BU135" s="707"/>
      <c r="BV135" s="707"/>
      <c r="BW135" s="707"/>
      <c r="BX135" s="707"/>
    </row>
    <row r="136" spans="1:76" ht="15">
      <c r="A136" s="707"/>
      <c r="B136" s="707"/>
      <c r="C136" s="707"/>
      <c r="D136" s="707"/>
      <c r="E136" s="707"/>
      <c r="F136" s="707"/>
      <c r="G136" s="707"/>
      <c r="H136" s="707"/>
      <c r="I136" s="707"/>
      <c r="J136" s="707"/>
      <c r="K136" s="707"/>
      <c r="L136" s="707"/>
      <c r="M136" s="707"/>
      <c r="N136" s="707"/>
      <c r="O136" s="707"/>
      <c r="P136" s="707"/>
      <c r="Q136" s="707"/>
      <c r="R136" s="707"/>
      <c r="S136" s="707"/>
      <c r="T136" s="707"/>
      <c r="U136" s="707"/>
      <c r="V136" s="707"/>
      <c r="W136" s="707"/>
      <c r="X136" s="707"/>
      <c r="Y136" s="707"/>
      <c r="Z136" s="707"/>
      <c r="AA136" s="707"/>
      <c r="AB136" s="707"/>
      <c r="AC136" s="707"/>
      <c r="AD136" s="707"/>
      <c r="AE136" s="707"/>
      <c r="AF136" s="707"/>
      <c r="AG136" s="707"/>
      <c r="AH136" s="707"/>
      <c r="AI136" s="707"/>
      <c r="AJ136" s="707"/>
      <c r="AK136" s="707"/>
      <c r="AL136" s="707"/>
      <c r="AM136" s="707"/>
      <c r="AN136" s="707"/>
      <c r="AO136" s="707"/>
      <c r="AP136" s="707"/>
      <c r="AQ136" s="707"/>
      <c r="AR136" s="707"/>
      <c r="AS136" s="707"/>
      <c r="AT136" s="707"/>
      <c r="AU136" s="707"/>
      <c r="AV136" s="707"/>
      <c r="AW136" s="707"/>
      <c r="AX136" s="707"/>
      <c r="AY136" s="707"/>
      <c r="AZ136" s="707"/>
      <c r="BA136" s="707"/>
      <c r="BB136" s="707"/>
      <c r="BC136" s="707"/>
      <c r="BD136" s="707"/>
      <c r="BE136" s="707"/>
      <c r="BF136" s="707"/>
      <c r="BG136" s="707"/>
      <c r="BH136" s="707"/>
      <c r="BI136" s="707"/>
      <c r="BJ136" s="707"/>
      <c r="BK136" s="707"/>
      <c r="BL136" s="707"/>
      <c r="BM136" s="707"/>
      <c r="BN136" s="707"/>
      <c r="BO136" s="707"/>
      <c r="BP136" s="707"/>
      <c r="BQ136" s="707"/>
      <c r="BR136" s="707"/>
      <c r="BS136" s="707"/>
      <c r="BT136" s="707"/>
      <c r="BU136" s="707"/>
      <c r="BV136" s="707"/>
      <c r="BW136" s="707"/>
      <c r="BX136" s="707"/>
    </row>
    <row r="137" spans="1:76" ht="15">
      <c r="A137" s="707"/>
      <c r="B137" s="707"/>
      <c r="C137" s="707"/>
      <c r="D137" s="707"/>
      <c r="E137" s="707"/>
      <c r="F137" s="707"/>
      <c r="G137" s="707"/>
      <c r="H137" s="707"/>
      <c r="I137" s="707"/>
      <c r="J137" s="707"/>
      <c r="K137" s="707"/>
      <c r="L137" s="707"/>
      <c r="M137" s="707"/>
      <c r="N137" s="707"/>
      <c r="O137" s="707"/>
      <c r="P137" s="707"/>
      <c r="Q137" s="707"/>
      <c r="R137" s="707"/>
      <c r="S137" s="707"/>
      <c r="T137" s="707"/>
      <c r="U137" s="707"/>
      <c r="V137" s="707"/>
      <c r="W137" s="707"/>
      <c r="X137" s="707"/>
      <c r="Y137" s="707"/>
      <c r="Z137" s="707"/>
      <c r="AA137" s="707"/>
      <c r="AB137" s="707"/>
      <c r="AC137" s="707"/>
      <c r="AD137" s="707"/>
      <c r="AE137" s="707"/>
      <c r="AF137" s="707"/>
      <c r="AG137" s="707"/>
      <c r="AH137" s="707"/>
      <c r="AI137" s="707"/>
      <c r="AJ137" s="707"/>
      <c r="AK137" s="707"/>
      <c r="AL137" s="707"/>
      <c r="AM137" s="707"/>
      <c r="AN137" s="707"/>
      <c r="AO137" s="707"/>
      <c r="AP137" s="707"/>
      <c r="AQ137" s="707"/>
      <c r="AR137" s="707"/>
      <c r="AS137" s="707"/>
      <c r="AT137" s="707"/>
      <c r="AU137" s="707"/>
      <c r="AV137" s="707"/>
      <c r="AW137" s="707"/>
      <c r="AX137" s="707"/>
      <c r="AY137" s="707"/>
      <c r="AZ137" s="707"/>
      <c r="BA137" s="707"/>
      <c r="BB137" s="707"/>
      <c r="BC137" s="707"/>
      <c r="BD137" s="707"/>
      <c r="BE137" s="707"/>
      <c r="BF137" s="707"/>
      <c r="BG137" s="707"/>
      <c r="BH137" s="707"/>
      <c r="BI137" s="707"/>
      <c r="BJ137" s="707"/>
      <c r="BK137" s="707"/>
      <c r="BL137" s="707"/>
      <c r="BM137" s="707"/>
      <c r="BN137" s="707"/>
      <c r="BO137" s="707"/>
      <c r="BP137" s="707"/>
      <c r="BQ137" s="707"/>
      <c r="BR137" s="707"/>
      <c r="BS137" s="707"/>
      <c r="BT137" s="707"/>
      <c r="BU137" s="707"/>
      <c r="BV137" s="707"/>
      <c r="BW137" s="707"/>
      <c r="BX137" s="707"/>
    </row>
    <row r="138" spans="1:76" ht="15">
      <c r="A138" s="707"/>
      <c r="B138" s="707"/>
      <c r="C138" s="707"/>
      <c r="D138" s="707"/>
      <c r="E138" s="707"/>
      <c r="F138" s="707"/>
      <c r="G138" s="707"/>
      <c r="H138" s="707"/>
      <c r="I138" s="707"/>
      <c r="J138" s="707"/>
      <c r="K138" s="707"/>
      <c r="L138" s="707"/>
      <c r="M138" s="707"/>
      <c r="N138" s="707"/>
      <c r="O138" s="707"/>
      <c r="P138" s="707"/>
      <c r="Q138" s="707"/>
      <c r="R138" s="707"/>
      <c r="S138" s="707"/>
      <c r="T138" s="707"/>
      <c r="U138" s="707"/>
      <c r="V138" s="707"/>
      <c r="W138" s="707"/>
      <c r="X138" s="707"/>
      <c r="Y138" s="707"/>
      <c r="Z138" s="707"/>
      <c r="AA138" s="707"/>
      <c r="AB138" s="707"/>
      <c r="AC138" s="707"/>
      <c r="AD138" s="707"/>
      <c r="AE138" s="707"/>
      <c r="AF138" s="707"/>
      <c r="AG138" s="707"/>
      <c r="AH138" s="707"/>
      <c r="AI138" s="707"/>
      <c r="AJ138" s="707"/>
      <c r="AK138" s="707"/>
      <c r="AL138" s="707"/>
      <c r="AM138" s="707"/>
      <c r="AN138" s="707"/>
      <c r="AO138" s="707"/>
      <c r="AP138" s="707"/>
      <c r="AQ138" s="707"/>
      <c r="AR138" s="707"/>
      <c r="AS138" s="707"/>
      <c r="AT138" s="707"/>
      <c r="AU138" s="707"/>
      <c r="AV138" s="707"/>
      <c r="AW138" s="707"/>
      <c r="AX138" s="707"/>
      <c r="AY138" s="707"/>
      <c r="AZ138" s="707"/>
      <c r="BA138" s="707"/>
      <c r="BB138" s="707"/>
      <c r="BC138" s="707"/>
      <c r="BD138" s="707"/>
      <c r="BE138" s="707"/>
      <c r="BF138" s="707"/>
      <c r="BG138" s="707"/>
      <c r="BH138" s="707"/>
      <c r="BI138" s="707"/>
      <c r="BJ138" s="707"/>
      <c r="BK138" s="707"/>
      <c r="BL138" s="707"/>
      <c r="BM138" s="707"/>
      <c r="BN138" s="707"/>
      <c r="BO138" s="707"/>
      <c r="BP138" s="707"/>
      <c r="BQ138" s="707"/>
      <c r="BR138" s="707"/>
      <c r="BS138" s="707"/>
      <c r="BT138" s="707"/>
      <c r="BU138" s="707"/>
      <c r="BV138" s="707"/>
      <c r="BW138" s="707"/>
      <c r="BX138" s="707"/>
    </row>
    <row r="139" spans="1:76" ht="15">
      <c r="A139" s="707"/>
      <c r="B139" s="707"/>
      <c r="C139" s="707"/>
      <c r="D139" s="707"/>
      <c r="E139" s="707"/>
      <c r="F139" s="707"/>
      <c r="G139" s="707"/>
      <c r="H139" s="707"/>
      <c r="I139" s="707"/>
      <c r="J139" s="707"/>
      <c r="K139" s="707"/>
      <c r="L139" s="707"/>
      <c r="M139" s="707"/>
      <c r="N139" s="707"/>
      <c r="O139" s="707"/>
      <c r="P139" s="707"/>
      <c r="Q139" s="707"/>
      <c r="R139" s="707"/>
      <c r="S139" s="707"/>
      <c r="T139" s="707"/>
      <c r="U139" s="707"/>
      <c r="V139" s="707"/>
      <c r="W139" s="707"/>
      <c r="X139" s="707"/>
      <c r="Y139" s="707"/>
      <c r="Z139" s="707"/>
      <c r="AA139" s="707"/>
      <c r="AB139" s="707"/>
      <c r="AC139" s="707"/>
      <c r="AD139" s="707"/>
      <c r="AE139" s="707"/>
      <c r="AF139" s="707"/>
      <c r="AG139" s="707"/>
      <c r="AH139" s="707"/>
      <c r="AI139" s="707"/>
      <c r="AJ139" s="707"/>
      <c r="AK139" s="707"/>
      <c r="AL139" s="707"/>
      <c r="AM139" s="707"/>
      <c r="AN139" s="707"/>
      <c r="AO139" s="707"/>
      <c r="AP139" s="707"/>
      <c r="AQ139" s="707"/>
      <c r="AR139" s="707"/>
      <c r="AS139" s="707"/>
      <c r="AT139" s="707"/>
      <c r="AU139" s="707"/>
      <c r="AV139" s="707"/>
      <c r="AW139" s="707"/>
      <c r="AX139" s="707"/>
      <c r="AY139" s="707"/>
      <c r="AZ139" s="707"/>
      <c r="BA139" s="707"/>
      <c r="BB139" s="707"/>
      <c r="BC139" s="707"/>
      <c r="BD139" s="707"/>
      <c r="BE139" s="707"/>
      <c r="BF139" s="707"/>
      <c r="BG139" s="707"/>
      <c r="BH139" s="707"/>
      <c r="BI139" s="707"/>
      <c r="BJ139" s="707"/>
      <c r="BK139" s="707"/>
      <c r="BL139" s="707"/>
      <c r="BM139" s="707"/>
      <c r="BN139" s="707"/>
      <c r="BO139" s="707"/>
      <c r="BP139" s="707"/>
      <c r="BQ139" s="707"/>
      <c r="BR139" s="707"/>
      <c r="BS139" s="707"/>
      <c r="BT139" s="707"/>
      <c r="BU139" s="707"/>
      <c r="BV139" s="707"/>
      <c r="BW139" s="707"/>
      <c r="BX139" s="707"/>
    </row>
    <row r="140" spans="1:76" ht="15">
      <c r="A140" s="707"/>
      <c r="B140" s="707"/>
      <c r="C140" s="707"/>
      <c r="D140" s="707"/>
      <c r="E140" s="707"/>
      <c r="F140" s="707"/>
      <c r="G140" s="707"/>
      <c r="H140" s="707"/>
      <c r="I140" s="707"/>
      <c r="J140" s="707"/>
      <c r="K140" s="707"/>
      <c r="L140" s="707"/>
      <c r="M140" s="707"/>
      <c r="N140" s="707"/>
      <c r="O140" s="707"/>
      <c r="P140" s="707"/>
      <c r="Q140" s="707"/>
      <c r="R140" s="707"/>
      <c r="S140" s="707"/>
      <c r="T140" s="707"/>
      <c r="U140" s="707"/>
      <c r="V140" s="707"/>
      <c r="W140" s="707"/>
      <c r="X140" s="707"/>
      <c r="Y140" s="707"/>
      <c r="Z140" s="707"/>
      <c r="AA140" s="707"/>
      <c r="AB140" s="707"/>
      <c r="AC140" s="707"/>
      <c r="AD140" s="707"/>
      <c r="AE140" s="707"/>
      <c r="AF140" s="707"/>
      <c r="AG140" s="707"/>
      <c r="AH140" s="707"/>
      <c r="AI140" s="707"/>
      <c r="AJ140" s="707"/>
      <c r="AK140" s="707"/>
      <c r="AL140" s="707"/>
      <c r="AM140" s="707"/>
      <c r="AN140" s="707"/>
      <c r="AO140" s="707"/>
      <c r="AP140" s="707"/>
      <c r="AQ140" s="707"/>
      <c r="AR140" s="707"/>
      <c r="AS140" s="707"/>
      <c r="AT140" s="707"/>
      <c r="AU140" s="707"/>
      <c r="AV140" s="707"/>
      <c r="AW140" s="707"/>
      <c r="AX140" s="707"/>
      <c r="AY140" s="707"/>
      <c r="AZ140" s="707"/>
      <c r="BA140" s="707"/>
      <c r="BB140" s="707"/>
      <c r="BC140" s="707"/>
      <c r="BD140" s="707"/>
      <c r="BE140" s="707"/>
      <c r="BF140" s="707"/>
      <c r="BG140" s="707"/>
      <c r="BH140" s="707"/>
      <c r="BI140" s="707"/>
      <c r="BJ140" s="707"/>
      <c r="BK140" s="707"/>
      <c r="BL140" s="707"/>
      <c r="BM140" s="707"/>
      <c r="BN140" s="707"/>
      <c r="BO140" s="707"/>
      <c r="BP140" s="707"/>
      <c r="BQ140" s="707"/>
      <c r="BR140" s="707"/>
      <c r="BS140" s="707"/>
      <c r="BT140" s="707"/>
      <c r="BU140" s="707"/>
      <c r="BV140" s="707"/>
      <c r="BW140" s="707"/>
      <c r="BX140" s="707"/>
    </row>
    <row r="141" spans="1:76" ht="15">
      <c r="A141" s="707"/>
      <c r="B141" s="707"/>
      <c r="C141" s="707"/>
      <c r="D141" s="707"/>
      <c r="E141" s="707"/>
      <c r="F141" s="707"/>
      <c r="G141" s="707"/>
      <c r="H141" s="707"/>
      <c r="I141" s="707"/>
      <c r="J141" s="707"/>
      <c r="K141" s="707"/>
      <c r="L141" s="707"/>
      <c r="M141" s="707"/>
      <c r="N141" s="707"/>
      <c r="O141" s="707"/>
      <c r="P141" s="707"/>
      <c r="Q141" s="707"/>
      <c r="R141" s="707"/>
      <c r="S141" s="707"/>
      <c r="T141" s="707"/>
      <c r="U141" s="707"/>
      <c r="V141" s="707"/>
      <c r="W141" s="707"/>
      <c r="X141" s="707"/>
      <c r="Y141" s="707"/>
      <c r="Z141" s="707"/>
      <c r="AA141" s="707"/>
      <c r="AB141" s="707"/>
      <c r="AC141" s="707"/>
      <c r="AD141" s="707"/>
      <c r="AE141" s="707"/>
      <c r="AF141" s="707"/>
      <c r="AG141" s="707"/>
      <c r="AH141" s="707"/>
      <c r="AI141" s="707"/>
      <c r="AJ141" s="707"/>
      <c r="AK141" s="707"/>
      <c r="AL141" s="707"/>
      <c r="AM141" s="707"/>
      <c r="AN141" s="707"/>
      <c r="AO141" s="707"/>
      <c r="AP141" s="707"/>
      <c r="AQ141" s="707"/>
      <c r="AR141" s="707"/>
      <c r="AS141" s="707"/>
      <c r="AT141" s="707"/>
      <c r="AU141" s="707"/>
      <c r="AV141" s="707"/>
      <c r="AW141" s="707"/>
      <c r="AX141" s="707"/>
      <c r="AY141" s="707"/>
      <c r="AZ141" s="707"/>
      <c r="BA141" s="707"/>
      <c r="BB141" s="707"/>
      <c r="BC141" s="707"/>
      <c r="BD141" s="707"/>
      <c r="BE141" s="707"/>
      <c r="BF141" s="707"/>
      <c r="BG141" s="707"/>
      <c r="BH141" s="707"/>
      <c r="BI141" s="707"/>
      <c r="BJ141" s="707"/>
      <c r="BK141" s="707"/>
      <c r="BL141" s="707"/>
      <c r="BM141" s="707"/>
      <c r="BN141" s="707"/>
      <c r="BO141" s="707"/>
      <c r="BP141" s="707"/>
      <c r="BQ141" s="707"/>
      <c r="BR141" s="707"/>
      <c r="BS141" s="707"/>
      <c r="BT141" s="707"/>
      <c r="BU141" s="707"/>
      <c r="BV141" s="707"/>
      <c r="BW141" s="707"/>
      <c r="BX141" s="707"/>
    </row>
    <row r="142" spans="1:76" ht="15">
      <c r="A142" s="707"/>
      <c r="B142" s="707"/>
      <c r="C142" s="707"/>
      <c r="D142" s="707"/>
      <c r="E142" s="707"/>
      <c r="F142" s="707"/>
      <c r="G142" s="707"/>
      <c r="H142" s="707"/>
      <c r="I142" s="707"/>
      <c r="J142" s="707"/>
      <c r="K142" s="707"/>
      <c r="L142" s="707"/>
      <c r="M142" s="707"/>
      <c r="N142" s="707"/>
      <c r="O142" s="707"/>
      <c r="P142" s="707"/>
      <c r="Q142" s="707"/>
      <c r="R142" s="707"/>
      <c r="S142" s="707"/>
      <c r="T142" s="707"/>
      <c r="U142" s="707"/>
      <c r="V142" s="707"/>
      <c r="W142" s="707"/>
      <c r="X142" s="707"/>
      <c r="Y142" s="707"/>
      <c r="Z142" s="707"/>
      <c r="AA142" s="707"/>
      <c r="AB142" s="707"/>
      <c r="AC142" s="707"/>
      <c r="AD142" s="707"/>
      <c r="AE142" s="707"/>
      <c r="AF142" s="707"/>
      <c r="AG142" s="707"/>
      <c r="AH142" s="707"/>
      <c r="AI142" s="707"/>
      <c r="AJ142" s="707"/>
      <c r="AK142" s="707"/>
      <c r="AL142" s="707"/>
      <c r="AM142" s="707"/>
      <c r="AN142" s="707"/>
      <c r="AO142" s="707"/>
      <c r="AP142" s="707"/>
      <c r="AQ142" s="707"/>
      <c r="AR142" s="707"/>
      <c r="AS142" s="707"/>
      <c r="AT142" s="707"/>
      <c r="AU142" s="707"/>
      <c r="AV142" s="707"/>
      <c r="AW142" s="707"/>
      <c r="AX142" s="707"/>
      <c r="AY142" s="707"/>
      <c r="AZ142" s="707"/>
      <c r="BA142" s="707"/>
      <c r="BB142" s="707"/>
      <c r="BC142" s="707"/>
      <c r="BD142" s="707"/>
      <c r="BE142" s="707"/>
      <c r="BF142" s="707"/>
      <c r="BG142" s="707"/>
      <c r="BH142" s="707"/>
      <c r="BI142" s="707"/>
      <c r="BJ142" s="707"/>
      <c r="BK142" s="707"/>
      <c r="BL142" s="707"/>
      <c r="BM142" s="707"/>
      <c r="BN142" s="707"/>
      <c r="BO142" s="707"/>
      <c r="BP142" s="707"/>
      <c r="BQ142" s="707"/>
      <c r="BR142" s="707"/>
      <c r="BS142" s="707"/>
      <c r="BT142" s="707"/>
      <c r="BU142" s="707"/>
      <c r="BV142" s="707"/>
      <c r="BW142" s="707"/>
      <c r="BX142" s="707"/>
    </row>
    <row r="143" spans="1:76" ht="15">
      <c r="A143" s="707"/>
      <c r="B143" s="707"/>
      <c r="C143" s="707"/>
      <c r="D143" s="707"/>
      <c r="E143" s="707"/>
      <c r="F143" s="707"/>
      <c r="G143" s="707"/>
      <c r="H143" s="707"/>
      <c r="I143" s="707"/>
      <c r="J143" s="707"/>
      <c r="K143" s="707"/>
      <c r="L143" s="707"/>
      <c r="M143" s="707"/>
      <c r="N143" s="707"/>
      <c r="O143" s="707"/>
      <c r="P143" s="707"/>
      <c r="Q143" s="707"/>
      <c r="R143" s="707"/>
      <c r="S143" s="707"/>
      <c r="T143" s="707"/>
      <c r="U143" s="707"/>
      <c r="V143" s="707"/>
      <c r="W143" s="707"/>
      <c r="X143" s="707"/>
      <c r="Y143" s="707"/>
      <c r="Z143" s="707"/>
      <c r="AA143" s="707"/>
      <c r="AB143" s="707"/>
      <c r="AC143" s="707"/>
      <c r="AD143" s="707"/>
      <c r="AE143" s="707"/>
      <c r="AF143" s="707"/>
      <c r="AG143" s="707"/>
      <c r="AH143" s="707"/>
      <c r="AI143" s="707"/>
      <c r="AJ143" s="707"/>
      <c r="AK143" s="707"/>
      <c r="AL143" s="707"/>
      <c r="AM143" s="707"/>
      <c r="AN143" s="707"/>
      <c r="AO143" s="707"/>
      <c r="AP143" s="707"/>
      <c r="AQ143" s="707"/>
      <c r="AR143" s="707"/>
      <c r="AS143" s="707"/>
      <c r="AT143" s="707"/>
      <c r="AU143" s="707"/>
      <c r="AV143" s="707"/>
      <c r="AW143" s="707"/>
      <c r="AX143" s="707"/>
      <c r="AY143" s="707"/>
      <c r="AZ143" s="707"/>
      <c r="BA143" s="707"/>
      <c r="BB143" s="707"/>
      <c r="BC143" s="707"/>
      <c r="BD143" s="707"/>
      <c r="BE143" s="707"/>
      <c r="BF143" s="707"/>
      <c r="BG143" s="707"/>
      <c r="BH143" s="707"/>
      <c r="BI143" s="707"/>
      <c r="BJ143" s="707"/>
      <c r="BK143" s="707"/>
      <c r="BL143" s="707"/>
      <c r="BM143" s="707"/>
      <c r="BN143" s="707"/>
      <c r="BO143" s="707"/>
      <c r="BP143" s="707"/>
      <c r="BQ143" s="707"/>
      <c r="BR143" s="707"/>
      <c r="BS143" s="707"/>
      <c r="BT143" s="707"/>
      <c r="BU143" s="707"/>
      <c r="BV143" s="707"/>
      <c r="BW143" s="707"/>
      <c r="BX143" s="707"/>
    </row>
    <row r="144" spans="1:76" ht="15">
      <c r="A144" s="707"/>
      <c r="B144" s="707"/>
      <c r="C144" s="707"/>
      <c r="D144" s="707"/>
      <c r="E144" s="707"/>
      <c r="F144" s="707"/>
      <c r="G144" s="707"/>
      <c r="H144" s="707"/>
      <c r="I144" s="707"/>
      <c r="J144" s="707"/>
      <c r="K144" s="707"/>
      <c r="L144" s="707"/>
      <c r="M144" s="707"/>
      <c r="N144" s="707"/>
      <c r="O144" s="707"/>
      <c r="P144" s="707"/>
      <c r="Q144" s="707"/>
      <c r="R144" s="707"/>
      <c r="S144" s="707"/>
      <c r="T144" s="707"/>
      <c r="U144" s="707"/>
      <c r="V144" s="707"/>
      <c r="W144" s="707"/>
      <c r="X144" s="707"/>
      <c r="Y144" s="707"/>
      <c r="Z144" s="707"/>
      <c r="AA144" s="707"/>
      <c r="AB144" s="707"/>
      <c r="AC144" s="707"/>
      <c r="AD144" s="707"/>
      <c r="AE144" s="707"/>
      <c r="AF144" s="707"/>
      <c r="AG144" s="707"/>
      <c r="AH144" s="707"/>
      <c r="AI144" s="707"/>
      <c r="AJ144" s="707"/>
      <c r="AK144" s="707"/>
      <c r="AL144" s="707"/>
      <c r="AM144" s="707"/>
      <c r="AN144" s="707"/>
      <c r="AO144" s="707"/>
      <c r="AP144" s="707"/>
      <c r="AQ144" s="707"/>
      <c r="AR144" s="707"/>
      <c r="AS144" s="707"/>
      <c r="AT144" s="707"/>
      <c r="AU144" s="707"/>
      <c r="AV144" s="707"/>
      <c r="AW144" s="707"/>
      <c r="AX144" s="707"/>
      <c r="AY144" s="707"/>
      <c r="AZ144" s="707"/>
      <c r="BA144" s="707"/>
      <c r="BB144" s="707"/>
      <c r="BC144" s="707"/>
      <c r="BD144" s="707"/>
      <c r="BE144" s="707"/>
      <c r="BF144" s="707"/>
      <c r="BG144" s="707"/>
      <c r="BH144" s="707"/>
      <c r="BI144" s="707"/>
      <c r="BJ144" s="707"/>
      <c r="BK144" s="707"/>
      <c r="BL144" s="707"/>
      <c r="BM144" s="707"/>
      <c r="BN144" s="707"/>
      <c r="BO144" s="707"/>
      <c r="BP144" s="707"/>
      <c r="BQ144" s="707"/>
      <c r="BR144" s="707"/>
      <c r="BS144" s="707"/>
      <c r="BT144" s="707"/>
      <c r="BU144" s="707"/>
      <c r="BV144" s="707"/>
      <c r="BW144" s="707"/>
      <c r="BX144" s="707"/>
    </row>
    <row r="145" spans="1:76" ht="15">
      <c r="A145" s="707"/>
      <c r="B145" s="707"/>
      <c r="C145" s="707"/>
      <c r="D145" s="707"/>
      <c r="E145" s="707"/>
      <c r="F145" s="707"/>
      <c r="G145" s="707"/>
      <c r="H145" s="707"/>
      <c r="I145" s="707"/>
      <c r="J145" s="707"/>
      <c r="K145" s="707"/>
      <c r="L145" s="707"/>
      <c r="M145" s="707"/>
      <c r="N145" s="707"/>
      <c r="O145" s="707"/>
      <c r="P145" s="707"/>
      <c r="Q145" s="707"/>
      <c r="R145" s="707"/>
      <c r="S145" s="707"/>
      <c r="T145" s="707"/>
      <c r="U145" s="707"/>
      <c r="V145" s="707"/>
      <c r="W145" s="707"/>
      <c r="X145" s="707"/>
      <c r="Y145" s="707"/>
      <c r="Z145" s="707"/>
      <c r="AA145" s="707"/>
      <c r="AB145" s="707"/>
      <c r="AC145" s="707"/>
      <c r="AD145" s="707"/>
      <c r="AE145" s="707"/>
      <c r="AF145" s="707"/>
      <c r="AG145" s="707"/>
      <c r="AH145" s="707"/>
      <c r="AI145" s="707"/>
      <c r="AJ145" s="707"/>
      <c r="AK145" s="707"/>
      <c r="AL145" s="707"/>
      <c r="AM145" s="707"/>
      <c r="AN145" s="707"/>
      <c r="AO145" s="707"/>
      <c r="AP145" s="707"/>
      <c r="AQ145" s="707"/>
      <c r="AR145" s="707"/>
      <c r="AS145" s="707"/>
      <c r="AT145" s="707"/>
      <c r="AU145" s="707"/>
      <c r="AV145" s="707"/>
      <c r="AW145" s="707"/>
      <c r="AX145" s="707"/>
      <c r="AY145" s="707"/>
      <c r="AZ145" s="707"/>
      <c r="BA145" s="707"/>
      <c r="BB145" s="707"/>
      <c r="BC145" s="707"/>
      <c r="BD145" s="707"/>
      <c r="BE145" s="707"/>
      <c r="BF145" s="707"/>
      <c r="BG145" s="707"/>
      <c r="BH145" s="707"/>
      <c r="BI145" s="707"/>
      <c r="BJ145" s="707"/>
      <c r="BK145" s="707"/>
      <c r="BL145" s="707"/>
      <c r="BM145" s="707"/>
      <c r="BN145" s="707"/>
      <c r="BO145" s="707"/>
      <c r="BP145" s="707"/>
      <c r="BQ145" s="707"/>
      <c r="BR145" s="707"/>
      <c r="BS145" s="707"/>
      <c r="BT145" s="707"/>
      <c r="BU145" s="707"/>
      <c r="BV145" s="707"/>
      <c r="BW145" s="707"/>
      <c r="BX145" s="707"/>
    </row>
    <row r="146" spans="1:76" ht="15">
      <c r="A146" s="707"/>
      <c r="B146" s="707"/>
      <c r="C146" s="707"/>
      <c r="D146" s="707"/>
      <c r="E146" s="707"/>
      <c r="F146" s="707"/>
      <c r="G146" s="707"/>
      <c r="H146" s="707"/>
      <c r="I146" s="707"/>
      <c r="J146" s="707"/>
      <c r="K146" s="707"/>
      <c r="L146" s="707"/>
      <c r="M146" s="707"/>
      <c r="N146" s="707"/>
      <c r="O146" s="707"/>
      <c r="P146" s="707"/>
      <c r="Q146" s="707"/>
      <c r="R146" s="707"/>
      <c r="S146" s="707"/>
      <c r="T146" s="707"/>
      <c r="U146" s="707"/>
      <c r="V146" s="707"/>
      <c r="W146" s="707"/>
      <c r="X146" s="707"/>
      <c r="Y146" s="707"/>
      <c r="Z146" s="707"/>
      <c r="AA146" s="707"/>
      <c r="AB146" s="707"/>
      <c r="AC146" s="707"/>
      <c r="AD146" s="707"/>
      <c r="AE146" s="707"/>
      <c r="AF146" s="707"/>
      <c r="AG146" s="707"/>
      <c r="AH146" s="707"/>
      <c r="AI146" s="707"/>
      <c r="AJ146" s="707"/>
      <c r="AK146" s="707"/>
      <c r="AL146" s="707"/>
      <c r="AM146" s="707"/>
      <c r="AN146" s="707"/>
      <c r="AO146" s="707"/>
      <c r="AP146" s="707"/>
      <c r="AQ146" s="707"/>
      <c r="AR146" s="707"/>
      <c r="AS146" s="707"/>
      <c r="AT146" s="707"/>
      <c r="AU146" s="707"/>
      <c r="AV146" s="707"/>
      <c r="AW146" s="707"/>
      <c r="AX146" s="707"/>
      <c r="AY146" s="707"/>
      <c r="AZ146" s="707"/>
      <c r="BA146" s="707"/>
      <c r="BB146" s="707"/>
      <c r="BC146" s="707"/>
      <c r="BD146" s="707"/>
      <c r="BE146" s="707"/>
      <c r="BF146" s="707"/>
      <c r="BG146" s="707"/>
      <c r="BH146" s="707"/>
      <c r="BI146" s="707"/>
      <c r="BJ146" s="707"/>
      <c r="BK146" s="707"/>
      <c r="BL146" s="707"/>
      <c r="BM146" s="707"/>
      <c r="BN146" s="707"/>
      <c r="BO146" s="707"/>
      <c r="BP146" s="707"/>
      <c r="BQ146" s="707"/>
      <c r="BR146" s="707"/>
      <c r="BS146" s="707"/>
      <c r="BT146" s="707"/>
      <c r="BU146" s="707"/>
      <c r="BV146" s="707"/>
      <c r="BW146" s="707"/>
      <c r="BX146" s="707"/>
    </row>
    <row r="147" spans="1:76" ht="15">
      <c r="A147" s="707"/>
      <c r="B147" s="707"/>
      <c r="C147" s="707"/>
      <c r="D147" s="707"/>
      <c r="E147" s="707"/>
      <c r="F147" s="707"/>
      <c r="G147" s="707"/>
      <c r="H147" s="707"/>
      <c r="I147" s="707"/>
      <c r="J147" s="707"/>
      <c r="K147" s="707"/>
      <c r="L147" s="707"/>
      <c r="M147" s="707"/>
      <c r="N147" s="707"/>
      <c r="O147" s="707"/>
      <c r="P147" s="707"/>
      <c r="Q147" s="707"/>
      <c r="R147" s="707"/>
      <c r="S147" s="707"/>
      <c r="T147" s="707"/>
      <c r="U147" s="707"/>
      <c r="V147" s="707"/>
      <c r="W147" s="707"/>
      <c r="X147" s="707"/>
      <c r="Y147" s="707"/>
      <c r="Z147" s="707"/>
      <c r="AA147" s="707"/>
      <c r="AB147" s="707"/>
      <c r="AC147" s="707"/>
      <c r="AD147" s="707"/>
      <c r="AE147" s="707"/>
      <c r="AF147" s="707"/>
      <c r="AG147" s="707"/>
      <c r="AH147" s="707"/>
      <c r="AI147" s="707"/>
      <c r="AJ147" s="707"/>
      <c r="AK147" s="707"/>
      <c r="AL147" s="707"/>
      <c r="AM147" s="707"/>
      <c r="AN147" s="707"/>
      <c r="AO147" s="707"/>
      <c r="AP147" s="707"/>
      <c r="AQ147" s="707"/>
      <c r="AR147" s="707"/>
      <c r="AS147" s="707"/>
      <c r="AT147" s="707"/>
      <c r="AU147" s="707"/>
      <c r="AV147" s="707"/>
      <c r="AW147" s="707"/>
      <c r="AX147" s="707"/>
      <c r="AY147" s="707"/>
      <c r="AZ147" s="707"/>
      <c r="BA147" s="707"/>
      <c r="BB147" s="707"/>
      <c r="BC147" s="707"/>
      <c r="BD147" s="707"/>
      <c r="BE147" s="707"/>
      <c r="BF147" s="707"/>
      <c r="BG147" s="707"/>
      <c r="BH147" s="707"/>
      <c r="BI147" s="707"/>
      <c r="BJ147" s="707"/>
      <c r="BK147" s="707"/>
      <c r="BL147" s="707"/>
      <c r="BM147" s="707"/>
      <c r="BN147" s="707"/>
      <c r="BO147" s="707"/>
      <c r="BP147" s="707"/>
      <c r="BQ147" s="707"/>
      <c r="BR147" s="707"/>
      <c r="BS147" s="707"/>
      <c r="BT147" s="707"/>
      <c r="BU147" s="707"/>
      <c r="BV147" s="707"/>
      <c r="BW147" s="707"/>
      <c r="BX147" s="707"/>
    </row>
    <row r="148" spans="1:76" ht="15">
      <c r="A148" s="707"/>
      <c r="B148" s="707"/>
      <c r="C148" s="707"/>
      <c r="D148" s="707"/>
      <c r="E148" s="707"/>
      <c r="F148" s="707"/>
      <c r="G148" s="707"/>
      <c r="H148" s="707"/>
      <c r="I148" s="707"/>
      <c r="J148" s="707"/>
      <c r="K148" s="707"/>
      <c r="L148" s="707"/>
      <c r="M148" s="707"/>
      <c r="N148" s="707"/>
      <c r="O148" s="707"/>
      <c r="P148" s="707"/>
      <c r="Q148" s="707"/>
      <c r="R148" s="707"/>
      <c r="S148" s="707"/>
      <c r="T148" s="707"/>
      <c r="U148" s="707"/>
      <c r="V148" s="707"/>
      <c r="W148" s="707"/>
      <c r="X148" s="707"/>
      <c r="Y148" s="707"/>
      <c r="Z148" s="707"/>
      <c r="AA148" s="707"/>
      <c r="AB148" s="707"/>
      <c r="AC148" s="707"/>
      <c r="AD148" s="707"/>
      <c r="AE148" s="707"/>
      <c r="AF148" s="707"/>
      <c r="AG148" s="707"/>
      <c r="AH148" s="707"/>
      <c r="AI148" s="707"/>
      <c r="AJ148" s="707"/>
      <c r="AK148" s="707"/>
      <c r="AL148" s="707"/>
      <c r="AM148" s="707"/>
      <c r="AN148" s="707"/>
      <c r="AO148" s="707"/>
      <c r="AP148" s="707"/>
      <c r="AQ148" s="707"/>
      <c r="AR148" s="707"/>
      <c r="AS148" s="707"/>
      <c r="AT148" s="707"/>
      <c r="AU148" s="707"/>
      <c r="AV148" s="707"/>
      <c r="AW148" s="707"/>
      <c r="AX148" s="707"/>
      <c r="AY148" s="707"/>
      <c r="AZ148" s="707"/>
      <c r="BA148" s="707"/>
      <c r="BB148" s="707"/>
      <c r="BC148" s="707"/>
      <c r="BD148" s="707"/>
      <c r="BE148" s="707"/>
      <c r="BF148" s="707"/>
      <c r="BG148" s="707"/>
      <c r="BH148" s="707"/>
      <c r="BI148" s="707"/>
      <c r="BJ148" s="707"/>
      <c r="BK148" s="707"/>
      <c r="BL148" s="707"/>
      <c r="BM148" s="707"/>
      <c r="BN148" s="707"/>
      <c r="BO148" s="707"/>
      <c r="BP148" s="707"/>
      <c r="BQ148" s="707"/>
      <c r="BR148" s="707"/>
      <c r="BS148" s="707"/>
      <c r="BT148" s="707"/>
      <c r="BU148" s="707"/>
      <c r="BV148" s="707"/>
      <c r="BW148" s="707"/>
      <c r="BX148" s="707"/>
    </row>
    <row r="149" spans="1:76" ht="15">
      <c r="A149" s="707"/>
      <c r="B149" s="707"/>
      <c r="C149" s="707"/>
      <c r="D149" s="707"/>
      <c r="E149" s="707"/>
      <c r="F149" s="707"/>
      <c r="G149" s="707"/>
      <c r="H149" s="707"/>
      <c r="I149" s="707"/>
      <c r="J149" s="707"/>
      <c r="K149" s="707"/>
      <c r="L149" s="707"/>
      <c r="M149" s="707"/>
      <c r="N149" s="707"/>
      <c r="O149" s="707"/>
      <c r="P149" s="707"/>
      <c r="Q149" s="707"/>
      <c r="R149" s="707"/>
      <c r="S149" s="707"/>
      <c r="T149" s="707"/>
      <c r="U149" s="707"/>
      <c r="V149" s="707"/>
      <c r="W149" s="707"/>
      <c r="X149" s="707"/>
      <c r="Y149" s="707"/>
      <c r="Z149" s="707"/>
      <c r="AA149" s="707"/>
      <c r="AB149" s="707"/>
      <c r="AC149" s="707"/>
      <c r="AD149" s="707"/>
      <c r="AE149" s="707"/>
      <c r="AF149" s="707"/>
      <c r="AG149" s="707"/>
      <c r="AH149" s="707"/>
      <c r="AI149" s="707"/>
      <c r="AJ149" s="707"/>
      <c r="AK149" s="707"/>
      <c r="AL149" s="707"/>
      <c r="AM149" s="707"/>
      <c r="AN149" s="707"/>
      <c r="AO149" s="707"/>
      <c r="AP149" s="707"/>
      <c r="AQ149" s="707"/>
      <c r="AR149" s="707"/>
      <c r="AS149" s="707"/>
      <c r="AT149" s="707"/>
      <c r="AU149" s="707"/>
      <c r="AV149" s="707"/>
      <c r="AW149" s="707"/>
      <c r="AX149" s="707"/>
      <c r="AY149" s="707"/>
      <c r="AZ149" s="707"/>
      <c r="BA149" s="707"/>
      <c r="BB149" s="707"/>
      <c r="BC149" s="707"/>
      <c r="BD149" s="707"/>
      <c r="BE149" s="707"/>
      <c r="BF149" s="707"/>
      <c r="BG149" s="707"/>
      <c r="BH149" s="707"/>
      <c r="BI149" s="707"/>
      <c r="BJ149" s="707"/>
      <c r="BK149" s="707"/>
      <c r="BL149" s="707"/>
      <c r="BM149" s="707"/>
      <c r="BN149" s="707"/>
      <c r="BO149" s="707"/>
      <c r="BP149" s="707"/>
      <c r="BQ149" s="707"/>
      <c r="BR149" s="707"/>
      <c r="BS149" s="707"/>
      <c r="BT149" s="707"/>
      <c r="BU149" s="707"/>
      <c r="BV149" s="707"/>
      <c r="BW149" s="707"/>
      <c r="BX149" s="707"/>
    </row>
    <row r="150" spans="1:76" ht="15">
      <c r="A150" s="707"/>
      <c r="B150" s="707"/>
      <c r="C150" s="707"/>
      <c r="D150" s="707"/>
      <c r="E150" s="707"/>
      <c r="F150" s="707"/>
      <c r="G150" s="707"/>
      <c r="H150" s="707"/>
      <c r="I150" s="707"/>
      <c r="J150" s="707"/>
      <c r="K150" s="707"/>
      <c r="L150" s="707"/>
      <c r="M150" s="707"/>
      <c r="N150" s="707"/>
      <c r="O150" s="707"/>
      <c r="P150" s="707"/>
      <c r="Q150" s="707"/>
      <c r="R150" s="707"/>
      <c r="S150" s="707"/>
      <c r="T150" s="707"/>
      <c r="U150" s="707"/>
      <c r="V150" s="707"/>
      <c r="W150" s="707"/>
      <c r="X150" s="707"/>
      <c r="Y150" s="707"/>
      <c r="Z150" s="707"/>
      <c r="AA150" s="707"/>
      <c r="AB150" s="707"/>
      <c r="AC150" s="707"/>
      <c r="AD150" s="707"/>
      <c r="AE150" s="707"/>
      <c r="AF150" s="707"/>
      <c r="AG150" s="707"/>
      <c r="AH150" s="707"/>
      <c r="AI150" s="707"/>
      <c r="AJ150" s="707"/>
      <c r="AK150" s="707"/>
      <c r="AL150" s="707"/>
      <c r="AM150" s="707"/>
      <c r="AN150" s="707"/>
      <c r="AO150" s="707"/>
      <c r="AP150" s="707"/>
      <c r="AQ150" s="707"/>
      <c r="AR150" s="707"/>
      <c r="AS150" s="707"/>
      <c r="AT150" s="707"/>
      <c r="AU150" s="707"/>
      <c r="AV150" s="707"/>
      <c r="AW150" s="707"/>
      <c r="AX150" s="707"/>
      <c r="AY150" s="707"/>
      <c r="AZ150" s="707"/>
      <c r="BA150" s="707"/>
      <c r="BB150" s="707"/>
      <c r="BC150" s="707"/>
      <c r="BD150" s="707"/>
      <c r="BE150" s="707"/>
      <c r="BF150" s="707"/>
      <c r="BG150" s="707"/>
      <c r="BH150" s="707"/>
      <c r="BI150" s="707"/>
      <c r="BJ150" s="707"/>
      <c r="BK150" s="707"/>
      <c r="BL150" s="707"/>
      <c r="BM150" s="707"/>
      <c r="BN150" s="707"/>
      <c r="BO150" s="707"/>
      <c r="BP150" s="707"/>
      <c r="BQ150" s="707"/>
      <c r="BR150" s="707"/>
      <c r="BS150" s="707"/>
      <c r="BT150" s="707"/>
      <c r="BU150" s="707"/>
      <c r="BV150" s="707"/>
      <c r="BW150" s="707"/>
      <c r="BX150" s="707"/>
    </row>
    <row r="151" spans="1:76" ht="15">
      <c r="A151" s="707"/>
      <c r="B151" s="707"/>
      <c r="C151" s="707"/>
      <c r="D151" s="707"/>
      <c r="E151" s="707"/>
      <c r="F151" s="707"/>
      <c r="G151" s="707"/>
      <c r="H151" s="707"/>
      <c r="I151" s="707"/>
      <c r="J151" s="707"/>
      <c r="K151" s="707"/>
      <c r="L151" s="707"/>
      <c r="M151" s="707"/>
      <c r="N151" s="707"/>
      <c r="O151" s="707"/>
      <c r="P151" s="707"/>
      <c r="Q151" s="707"/>
      <c r="R151" s="707"/>
      <c r="S151" s="707"/>
      <c r="T151" s="707"/>
      <c r="U151" s="707"/>
      <c r="V151" s="707"/>
      <c r="W151" s="707"/>
      <c r="X151" s="707"/>
      <c r="Y151" s="707"/>
      <c r="Z151" s="707"/>
      <c r="AA151" s="707"/>
      <c r="AB151" s="707"/>
      <c r="AC151" s="707"/>
      <c r="AD151" s="707"/>
      <c r="AE151" s="707"/>
      <c r="AF151" s="707"/>
      <c r="AG151" s="707"/>
      <c r="AH151" s="707"/>
      <c r="AI151" s="707"/>
      <c r="AJ151" s="707"/>
      <c r="AK151" s="707"/>
      <c r="AL151" s="707"/>
      <c r="AM151" s="707"/>
      <c r="AN151" s="707"/>
      <c r="AO151" s="707"/>
      <c r="AP151" s="707"/>
      <c r="AQ151" s="707"/>
      <c r="AR151" s="707"/>
      <c r="AS151" s="707"/>
      <c r="AT151" s="707"/>
      <c r="AU151" s="707"/>
      <c r="AV151" s="707"/>
      <c r="AW151" s="707"/>
      <c r="AX151" s="707"/>
      <c r="AY151" s="707"/>
      <c r="AZ151" s="707"/>
      <c r="BA151" s="707"/>
      <c r="BB151" s="707"/>
      <c r="BC151" s="707"/>
      <c r="BD151" s="707"/>
      <c r="BE151" s="707"/>
      <c r="BF151" s="707"/>
      <c r="BG151" s="707"/>
      <c r="BH151" s="707"/>
      <c r="BI151" s="707"/>
      <c r="BJ151" s="707"/>
      <c r="BK151" s="707"/>
      <c r="BL151" s="707"/>
      <c r="BM151" s="707"/>
      <c r="BN151" s="707"/>
      <c r="BO151" s="707"/>
      <c r="BP151" s="707"/>
      <c r="BQ151" s="707"/>
      <c r="BR151" s="707"/>
      <c r="BS151" s="707"/>
      <c r="BT151" s="707"/>
      <c r="BU151" s="707"/>
      <c r="BV151" s="707"/>
      <c r="BW151" s="707"/>
      <c r="BX151" s="707"/>
    </row>
    <row r="152" spans="1:76" ht="15">
      <c r="A152" s="707"/>
      <c r="B152" s="707"/>
      <c r="C152" s="707"/>
      <c r="D152" s="707"/>
      <c r="E152" s="707"/>
      <c r="F152" s="707"/>
      <c r="G152" s="707"/>
      <c r="H152" s="707"/>
      <c r="I152" s="707"/>
      <c r="J152" s="707"/>
      <c r="K152" s="707"/>
      <c r="L152" s="707"/>
      <c r="M152" s="707"/>
      <c r="N152" s="707"/>
      <c r="O152" s="707"/>
      <c r="P152" s="707"/>
      <c r="Q152" s="707"/>
      <c r="R152" s="707"/>
      <c r="S152" s="707"/>
      <c r="T152" s="707"/>
      <c r="U152" s="707"/>
      <c r="V152" s="707"/>
      <c r="W152" s="707"/>
      <c r="X152" s="707"/>
      <c r="Y152" s="707"/>
      <c r="Z152" s="707"/>
      <c r="AA152" s="707"/>
      <c r="AB152" s="707"/>
      <c r="AC152" s="707"/>
      <c r="AD152" s="707"/>
      <c r="AE152" s="707"/>
      <c r="AF152" s="707"/>
      <c r="AG152" s="707"/>
      <c r="AH152" s="707"/>
      <c r="AI152" s="707"/>
      <c r="AJ152" s="707"/>
      <c r="AK152" s="707"/>
      <c r="AL152" s="707"/>
      <c r="AM152" s="707"/>
      <c r="AN152" s="707"/>
      <c r="AO152" s="707"/>
      <c r="AP152" s="707"/>
      <c r="AQ152" s="707"/>
      <c r="AR152" s="707"/>
      <c r="AS152" s="707"/>
      <c r="AT152" s="707"/>
      <c r="AU152" s="707"/>
      <c r="AV152" s="707"/>
      <c r="AW152" s="707"/>
      <c r="AX152" s="707"/>
      <c r="AY152" s="707"/>
      <c r="AZ152" s="707"/>
      <c r="BA152" s="707"/>
      <c r="BB152" s="707"/>
      <c r="BC152" s="707"/>
      <c r="BD152" s="707"/>
      <c r="BE152" s="707"/>
      <c r="BF152" s="707"/>
      <c r="BG152" s="707"/>
      <c r="BH152" s="707"/>
      <c r="BI152" s="707"/>
      <c r="BJ152" s="707"/>
      <c r="BK152" s="707"/>
      <c r="BL152" s="707"/>
      <c r="BM152" s="707"/>
      <c r="BN152" s="707"/>
      <c r="BO152" s="707"/>
      <c r="BP152" s="707"/>
      <c r="BQ152" s="707"/>
      <c r="BR152" s="707"/>
      <c r="BS152" s="707"/>
      <c r="BT152" s="707"/>
      <c r="BU152" s="707"/>
      <c r="BV152" s="707"/>
      <c r="BW152" s="707"/>
      <c r="BX152" s="707"/>
    </row>
    <row r="153" spans="1:76" ht="15">
      <c r="A153" s="707"/>
      <c r="B153" s="707"/>
      <c r="C153" s="707"/>
      <c r="D153" s="707"/>
      <c r="E153" s="707"/>
      <c r="F153" s="707"/>
      <c r="G153" s="707"/>
      <c r="H153" s="707"/>
      <c r="I153" s="707"/>
      <c r="J153" s="707"/>
      <c r="K153" s="707"/>
      <c r="L153" s="707"/>
      <c r="M153" s="707"/>
      <c r="N153" s="707"/>
      <c r="O153" s="707"/>
      <c r="P153" s="707"/>
      <c r="Q153" s="707"/>
      <c r="R153" s="707"/>
      <c r="S153" s="707"/>
      <c r="T153" s="707"/>
      <c r="U153" s="707"/>
      <c r="V153" s="707"/>
      <c r="W153" s="707"/>
      <c r="X153" s="707"/>
      <c r="Y153" s="707"/>
      <c r="Z153" s="707"/>
      <c r="AA153" s="707"/>
      <c r="AB153" s="707"/>
      <c r="AC153" s="707"/>
      <c r="AD153" s="707"/>
      <c r="AE153" s="707"/>
      <c r="AF153" s="707"/>
      <c r="AG153" s="707"/>
      <c r="AH153" s="707"/>
      <c r="AI153" s="707"/>
      <c r="AJ153" s="707"/>
      <c r="AK153" s="707"/>
      <c r="AL153" s="707"/>
      <c r="AM153" s="707"/>
      <c r="AN153" s="707"/>
      <c r="AO153" s="707"/>
      <c r="AP153" s="707"/>
      <c r="AQ153" s="707"/>
      <c r="AR153" s="707"/>
      <c r="AS153" s="707"/>
      <c r="AT153" s="707"/>
      <c r="AU153" s="707"/>
      <c r="AV153" s="707"/>
      <c r="AW153" s="707"/>
      <c r="AX153" s="707"/>
      <c r="AY153" s="707"/>
      <c r="AZ153" s="707"/>
      <c r="BA153" s="707"/>
      <c r="BB153" s="707"/>
      <c r="BC153" s="707"/>
      <c r="BD153" s="707"/>
      <c r="BE153" s="707"/>
      <c r="BF153" s="707"/>
      <c r="BG153" s="707"/>
      <c r="BH153" s="707"/>
      <c r="BI153" s="707"/>
      <c r="BJ153" s="707"/>
      <c r="BK153" s="707"/>
      <c r="BL153" s="707"/>
      <c r="BM153" s="707"/>
      <c r="BN153" s="707"/>
      <c r="BO153" s="707"/>
      <c r="BP153" s="707"/>
      <c r="BQ153" s="707"/>
      <c r="BR153" s="707"/>
      <c r="BS153" s="707"/>
      <c r="BT153" s="707"/>
      <c r="BU153" s="707"/>
      <c r="BV153" s="707"/>
      <c r="BW153" s="707"/>
      <c r="BX153" s="707"/>
    </row>
    <row r="154" spans="1:76" ht="15">
      <c r="A154" s="707"/>
      <c r="B154" s="707"/>
      <c r="C154" s="707"/>
      <c r="D154" s="707"/>
      <c r="E154" s="707"/>
      <c r="F154" s="707"/>
      <c r="G154" s="707"/>
      <c r="H154" s="707"/>
      <c r="I154" s="707"/>
      <c r="J154" s="707"/>
      <c r="K154" s="707"/>
      <c r="L154" s="707"/>
      <c r="M154" s="707"/>
      <c r="N154" s="707"/>
      <c r="O154" s="707"/>
      <c r="P154" s="707"/>
      <c r="Q154" s="707"/>
      <c r="R154" s="707"/>
      <c r="S154" s="707"/>
      <c r="T154" s="707"/>
      <c r="U154" s="707"/>
      <c r="V154" s="707"/>
      <c r="W154" s="707"/>
      <c r="X154" s="707"/>
      <c r="Y154" s="707"/>
      <c r="Z154" s="707"/>
      <c r="AA154" s="707"/>
      <c r="AB154" s="707"/>
      <c r="AC154" s="707"/>
      <c r="AD154" s="707"/>
      <c r="AE154" s="707"/>
      <c r="AF154" s="707"/>
      <c r="AG154" s="707"/>
      <c r="AH154" s="707"/>
      <c r="AI154" s="707"/>
      <c r="AJ154" s="707"/>
      <c r="AK154" s="707"/>
      <c r="AL154" s="707"/>
      <c r="AM154" s="707"/>
      <c r="AN154" s="707"/>
      <c r="AO154" s="707"/>
      <c r="AP154" s="707"/>
      <c r="AQ154" s="707"/>
      <c r="AR154" s="707"/>
      <c r="AS154" s="707"/>
      <c r="AT154" s="707"/>
      <c r="AU154" s="707"/>
      <c r="AV154" s="707"/>
      <c r="AW154" s="707"/>
      <c r="AX154" s="707"/>
      <c r="AY154" s="707"/>
      <c r="AZ154" s="707"/>
      <c r="BA154" s="707"/>
      <c r="BB154" s="707"/>
      <c r="BC154" s="707"/>
      <c r="BD154" s="707"/>
      <c r="BE154" s="707"/>
      <c r="BF154" s="707"/>
      <c r="BG154" s="707"/>
      <c r="BH154" s="707"/>
      <c r="BI154" s="707"/>
      <c r="BJ154" s="707"/>
      <c r="BK154" s="707"/>
      <c r="BL154" s="707"/>
      <c r="BM154" s="707"/>
      <c r="BN154" s="707"/>
      <c r="BO154" s="707"/>
      <c r="BP154" s="707"/>
      <c r="BQ154" s="707"/>
      <c r="BR154" s="707"/>
      <c r="BS154" s="707"/>
      <c r="BT154" s="707"/>
      <c r="BU154" s="707"/>
      <c r="BV154" s="707"/>
      <c r="BW154" s="707"/>
      <c r="BX154" s="707"/>
    </row>
    <row r="155" spans="1:76" ht="15">
      <c r="A155" s="707"/>
      <c r="B155" s="707"/>
      <c r="C155" s="707"/>
      <c r="D155" s="707"/>
      <c r="E155" s="707"/>
      <c r="F155" s="707"/>
      <c r="G155" s="707"/>
      <c r="H155" s="707"/>
      <c r="I155" s="707"/>
      <c r="J155" s="707"/>
      <c r="K155" s="707"/>
      <c r="L155" s="707"/>
      <c r="M155" s="707"/>
      <c r="N155" s="707"/>
      <c r="O155" s="707"/>
      <c r="P155" s="707"/>
      <c r="Q155" s="707"/>
      <c r="R155" s="707"/>
      <c r="S155" s="707"/>
      <c r="T155" s="707"/>
      <c r="U155" s="707"/>
      <c r="V155" s="707"/>
      <c r="W155" s="707"/>
      <c r="X155" s="707"/>
      <c r="Y155" s="707"/>
      <c r="Z155" s="707"/>
      <c r="AA155" s="707"/>
      <c r="AB155" s="707"/>
      <c r="AC155" s="707"/>
      <c r="AD155" s="707"/>
      <c r="AE155" s="707"/>
      <c r="AF155" s="707"/>
      <c r="AG155" s="707"/>
      <c r="AH155" s="707"/>
      <c r="AI155" s="707"/>
      <c r="AJ155" s="707"/>
      <c r="AK155" s="707"/>
      <c r="AL155" s="707"/>
      <c r="AM155" s="707"/>
      <c r="AN155" s="707"/>
      <c r="AO155" s="707"/>
      <c r="AP155" s="707"/>
      <c r="AQ155" s="707"/>
      <c r="AR155" s="707"/>
      <c r="AS155" s="707"/>
      <c r="AT155" s="707"/>
      <c r="AU155" s="707"/>
      <c r="AV155" s="707"/>
      <c r="AW155" s="707"/>
      <c r="AX155" s="707"/>
      <c r="AY155" s="707"/>
      <c r="AZ155" s="707"/>
      <c r="BA155" s="707"/>
      <c r="BB155" s="707"/>
      <c r="BC155" s="707"/>
      <c r="BD155" s="707"/>
      <c r="BE155" s="707"/>
      <c r="BF155" s="707"/>
      <c r="BG155" s="707"/>
      <c r="BH155" s="707"/>
      <c r="BI155" s="707"/>
      <c r="BJ155" s="707"/>
      <c r="BK155" s="707"/>
      <c r="BL155" s="707"/>
      <c r="BM155" s="707"/>
      <c r="BN155" s="707"/>
      <c r="BO155" s="707"/>
      <c r="BP155" s="707"/>
      <c r="BQ155" s="707"/>
      <c r="BR155" s="707"/>
      <c r="BS155" s="707"/>
      <c r="BT155" s="707"/>
      <c r="BU155" s="707"/>
      <c r="BV155" s="707"/>
      <c r="BW155" s="707"/>
      <c r="BX155" s="707"/>
    </row>
    <row r="156" spans="1:76" ht="15">
      <c r="A156" s="707"/>
      <c r="B156" s="707"/>
      <c r="C156" s="707"/>
      <c r="D156" s="707"/>
      <c r="E156" s="707"/>
      <c r="F156" s="707"/>
      <c r="G156" s="707"/>
      <c r="H156" s="707"/>
      <c r="I156" s="707"/>
      <c r="J156" s="707"/>
      <c r="K156" s="707"/>
      <c r="L156" s="707"/>
      <c r="M156" s="707"/>
      <c r="N156" s="707"/>
      <c r="O156" s="707"/>
      <c r="P156" s="707"/>
      <c r="Q156" s="707"/>
      <c r="R156" s="707"/>
      <c r="S156" s="707"/>
      <c r="T156" s="707"/>
      <c r="U156" s="707"/>
      <c r="V156" s="707"/>
      <c r="W156" s="707"/>
      <c r="X156" s="707"/>
      <c r="Y156" s="707"/>
      <c r="Z156" s="707"/>
      <c r="AA156" s="707"/>
      <c r="AB156" s="707"/>
      <c r="AC156" s="707"/>
      <c r="AD156" s="707"/>
      <c r="AE156" s="707"/>
      <c r="AF156" s="707"/>
      <c r="AG156" s="707"/>
      <c r="AH156" s="707"/>
      <c r="AI156" s="707"/>
      <c r="AJ156" s="707"/>
      <c r="AK156" s="707"/>
      <c r="AL156" s="707"/>
      <c r="AM156" s="707"/>
      <c r="AN156" s="707"/>
      <c r="AO156" s="707"/>
      <c r="AP156" s="707"/>
      <c r="AQ156" s="707"/>
      <c r="AR156" s="707"/>
      <c r="AS156" s="707"/>
      <c r="AT156" s="707"/>
      <c r="AU156" s="707"/>
      <c r="AV156" s="707"/>
      <c r="AW156" s="707"/>
      <c r="AX156" s="707"/>
      <c r="AY156" s="707"/>
      <c r="AZ156" s="707"/>
      <c r="BA156" s="707"/>
      <c r="BB156" s="707"/>
      <c r="BC156" s="707"/>
      <c r="BD156" s="707"/>
      <c r="BE156" s="707"/>
      <c r="BF156" s="707"/>
      <c r="BG156" s="707"/>
      <c r="BH156" s="707"/>
      <c r="BI156" s="707"/>
      <c r="BJ156" s="707"/>
      <c r="BK156" s="707"/>
      <c r="BL156" s="707"/>
      <c r="BM156" s="707"/>
      <c r="BN156" s="707"/>
      <c r="BO156" s="707"/>
      <c r="BP156" s="707"/>
      <c r="BQ156" s="707"/>
      <c r="BR156" s="707"/>
      <c r="BS156" s="707"/>
      <c r="BT156" s="707"/>
      <c r="BU156" s="707"/>
      <c r="BV156" s="707"/>
      <c r="BW156" s="707"/>
      <c r="BX156" s="707"/>
    </row>
    <row r="157" spans="1:76" ht="15">
      <c r="A157" s="707"/>
      <c r="B157" s="707"/>
      <c r="C157" s="707"/>
      <c r="D157" s="707"/>
      <c r="E157" s="707"/>
      <c r="F157" s="707"/>
      <c r="G157" s="707"/>
      <c r="H157" s="707"/>
      <c r="I157" s="707"/>
      <c r="J157" s="707"/>
      <c r="K157" s="707"/>
      <c r="L157" s="707"/>
      <c r="M157" s="707"/>
      <c r="N157" s="707"/>
      <c r="O157" s="707"/>
      <c r="P157" s="707"/>
      <c r="Q157" s="707"/>
      <c r="R157" s="707"/>
      <c r="S157" s="707"/>
      <c r="T157" s="707"/>
      <c r="U157" s="707"/>
      <c r="V157" s="707"/>
      <c r="W157" s="707"/>
      <c r="X157" s="707"/>
      <c r="Y157" s="707"/>
      <c r="Z157" s="707"/>
      <c r="AA157" s="707"/>
      <c r="AB157" s="707"/>
      <c r="AC157" s="707"/>
      <c r="AD157" s="707"/>
      <c r="AE157" s="707"/>
      <c r="AF157" s="707"/>
      <c r="AG157" s="707"/>
      <c r="AH157" s="707"/>
      <c r="AI157" s="707"/>
      <c r="AJ157" s="707"/>
      <c r="AK157" s="707"/>
      <c r="AL157" s="707"/>
      <c r="AM157" s="707"/>
      <c r="AN157" s="707"/>
      <c r="AO157" s="707"/>
      <c r="AP157" s="707"/>
      <c r="AQ157" s="707"/>
      <c r="AR157" s="707"/>
      <c r="AS157" s="707"/>
      <c r="AT157" s="707"/>
      <c r="AU157" s="707"/>
      <c r="AV157" s="707"/>
      <c r="AW157" s="707"/>
      <c r="AX157" s="707"/>
      <c r="AY157" s="707"/>
      <c r="AZ157" s="707"/>
      <c r="BA157" s="707"/>
      <c r="BB157" s="707"/>
      <c r="BC157" s="707"/>
      <c r="BD157" s="707"/>
      <c r="BE157" s="707"/>
      <c r="BF157" s="707"/>
      <c r="BG157" s="707"/>
      <c r="BH157" s="707"/>
      <c r="BI157" s="707"/>
      <c r="BJ157" s="707"/>
      <c r="BK157" s="707"/>
      <c r="BL157" s="707"/>
      <c r="BM157" s="707"/>
      <c r="BN157" s="707"/>
      <c r="BO157" s="707"/>
      <c r="BP157" s="707"/>
      <c r="BQ157" s="707"/>
      <c r="BR157" s="707"/>
      <c r="BS157" s="707"/>
      <c r="BT157" s="707"/>
      <c r="BU157" s="707"/>
      <c r="BV157" s="707"/>
      <c r="BW157" s="707"/>
      <c r="BX157" s="707"/>
    </row>
    <row r="158" spans="1:76" ht="15">
      <c r="A158" s="707"/>
      <c r="B158" s="707"/>
      <c r="C158" s="707"/>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7"/>
      <c r="AY158" s="707"/>
      <c r="AZ158" s="707"/>
      <c r="BA158" s="707"/>
      <c r="BB158" s="707"/>
      <c r="BC158" s="707"/>
      <c r="BD158" s="707"/>
      <c r="BE158" s="707"/>
      <c r="BF158" s="707"/>
      <c r="BG158" s="707"/>
      <c r="BH158" s="707"/>
      <c r="BI158" s="707"/>
      <c r="BJ158" s="707"/>
      <c r="BK158" s="707"/>
      <c r="BL158" s="707"/>
      <c r="BM158" s="707"/>
      <c r="BN158" s="707"/>
      <c r="BO158" s="707"/>
      <c r="BP158" s="707"/>
      <c r="BQ158" s="707"/>
      <c r="BR158" s="707"/>
      <c r="BS158" s="707"/>
      <c r="BT158" s="707"/>
      <c r="BU158" s="707"/>
      <c r="BV158" s="707"/>
      <c r="BW158" s="707"/>
      <c r="BX158" s="707"/>
    </row>
    <row r="159" spans="1:76" ht="15">
      <c r="A159" s="707"/>
      <c r="B159" s="707"/>
      <c r="C159" s="707"/>
      <c r="D159" s="707"/>
      <c r="E159" s="707"/>
      <c r="F159" s="707"/>
      <c r="G159" s="707"/>
      <c r="H159" s="707"/>
      <c r="I159" s="707"/>
      <c r="J159" s="707"/>
      <c r="K159" s="707"/>
      <c r="L159" s="707"/>
      <c r="M159" s="707"/>
      <c r="N159" s="707"/>
      <c r="O159" s="707"/>
      <c r="P159" s="707"/>
      <c r="Q159" s="707"/>
      <c r="R159" s="707"/>
      <c r="S159" s="707"/>
      <c r="T159" s="707"/>
      <c r="U159" s="707"/>
      <c r="V159" s="707"/>
      <c r="W159" s="707"/>
      <c r="X159" s="707"/>
      <c r="Y159" s="707"/>
      <c r="Z159" s="707"/>
      <c r="AA159" s="707"/>
      <c r="AB159" s="707"/>
      <c r="AC159" s="707"/>
      <c r="AD159" s="707"/>
      <c r="AE159" s="707"/>
      <c r="AF159" s="707"/>
      <c r="AG159" s="707"/>
      <c r="AH159" s="707"/>
      <c r="AI159" s="707"/>
      <c r="AJ159" s="707"/>
      <c r="AK159" s="707"/>
      <c r="AL159" s="707"/>
      <c r="AM159" s="707"/>
      <c r="AN159" s="707"/>
      <c r="AO159" s="707"/>
      <c r="AP159" s="707"/>
      <c r="AQ159" s="707"/>
      <c r="AR159" s="707"/>
      <c r="AS159" s="707"/>
      <c r="AT159" s="707"/>
      <c r="AU159" s="707"/>
      <c r="AV159" s="707"/>
      <c r="AW159" s="707"/>
      <c r="AX159" s="707"/>
      <c r="AY159" s="707"/>
      <c r="AZ159" s="707"/>
      <c r="BA159" s="707"/>
      <c r="BB159" s="707"/>
      <c r="BC159" s="707"/>
      <c r="BD159" s="707"/>
      <c r="BE159" s="707"/>
      <c r="BF159" s="707"/>
      <c r="BG159" s="707"/>
      <c r="BH159" s="707"/>
      <c r="BI159" s="707"/>
      <c r="BJ159" s="707"/>
      <c r="BK159" s="707"/>
      <c r="BL159" s="707"/>
      <c r="BM159" s="707"/>
      <c r="BN159" s="707"/>
      <c r="BO159" s="707"/>
      <c r="BP159" s="707"/>
      <c r="BQ159" s="707"/>
      <c r="BR159" s="707"/>
      <c r="BS159" s="707"/>
      <c r="BT159" s="707"/>
      <c r="BU159" s="707"/>
      <c r="BV159" s="707"/>
      <c r="BW159" s="707"/>
      <c r="BX159" s="707"/>
    </row>
    <row r="160" spans="1:76" ht="15">
      <c r="A160" s="707"/>
      <c r="B160" s="707"/>
      <c r="C160" s="707"/>
      <c r="D160" s="707"/>
      <c r="E160" s="707"/>
      <c r="F160" s="707"/>
      <c r="G160" s="707"/>
      <c r="H160" s="707"/>
      <c r="I160" s="707"/>
      <c r="J160" s="707"/>
      <c r="K160" s="707"/>
      <c r="L160" s="707"/>
      <c r="M160" s="707"/>
      <c r="N160" s="707"/>
      <c r="O160" s="707"/>
      <c r="P160" s="707"/>
      <c r="Q160" s="707"/>
      <c r="R160" s="707"/>
      <c r="S160" s="707"/>
      <c r="T160" s="707"/>
      <c r="U160" s="707"/>
      <c r="V160" s="707"/>
      <c r="W160" s="707"/>
      <c r="X160" s="707"/>
      <c r="Y160" s="707"/>
      <c r="Z160" s="707"/>
      <c r="AA160" s="707"/>
      <c r="AB160" s="707"/>
      <c r="AC160" s="707"/>
      <c r="AD160" s="707"/>
      <c r="AE160" s="707"/>
      <c r="AF160" s="707"/>
      <c r="AG160" s="707"/>
      <c r="AH160" s="707"/>
      <c r="AI160" s="707"/>
      <c r="AJ160" s="707"/>
      <c r="AK160" s="707"/>
      <c r="AL160" s="707"/>
      <c r="AM160" s="707"/>
      <c r="AN160" s="707"/>
      <c r="AO160" s="707"/>
      <c r="AP160" s="707"/>
      <c r="AQ160" s="707"/>
      <c r="AR160" s="707"/>
      <c r="AS160" s="707"/>
      <c r="AT160" s="707"/>
      <c r="AU160" s="707"/>
      <c r="AV160" s="707"/>
      <c r="AW160" s="707"/>
      <c r="AX160" s="707"/>
      <c r="AY160" s="707"/>
      <c r="AZ160" s="707"/>
      <c r="BA160" s="707"/>
      <c r="BB160" s="707"/>
      <c r="BC160" s="707"/>
      <c r="BD160" s="707"/>
      <c r="BE160" s="707"/>
      <c r="BF160" s="707"/>
      <c r="BG160" s="707"/>
      <c r="BH160" s="707"/>
      <c r="BI160" s="707"/>
      <c r="BJ160" s="707"/>
      <c r="BK160" s="707"/>
      <c r="BL160" s="707"/>
      <c r="BM160" s="707"/>
      <c r="BN160" s="707"/>
      <c r="BO160" s="707"/>
      <c r="BP160" s="707"/>
      <c r="BQ160" s="707"/>
      <c r="BR160" s="707"/>
      <c r="BS160" s="707"/>
      <c r="BT160" s="707"/>
      <c r="BU160" s="707"/>
      <c r="BV160" s="707"/>
      <c r="BW160" s="707"/>
      <c r="BX160" s="707"/>
    </row>
    <row r="161" spans="1:76" ht="15">
      <c r="A161" s="707"/>
      <c r="B161" s="707"/>
      <c r="C161" s="707"/>
      <c r="D161" s="707"/>
      <c r="E161" s="707"/>
      <c r="F161" s="707"/>
      <c r="G161" s="707"/>
      <c r="H161" s="707"/>
      <c r="I161" s="707"/>
      <c r="J161" s="707"/>
      <c r="K161" s="707"/>
      <c r="L161" s="707"/>
      <c r="M161" s="707"/>
      <c r="N161" s="707"/>
      <c r="O161" s="707"/>
      <c r="P161" s="707"/>
      <c r="Q161" s="707"/>
      <c r="R161" s="707"/>
      <c r="S161" s="707"/>
      <c r="T161" s="707"/>
      <c r="U161" s="707"/>
      <c r="V161" s="707"/>
      <c r="W161" s="707"/>
      <c r="X161" s="707"/>
      <c r="Y161" s="707"/>
      <c r="Z161" s="707"/>
      <c r="AA161" s="707"/>
      <c r="AB161" s="707"/>
      <c r="AC161" s="707"/>
      <c r="AD161" s="707"/>
      <c r="AE161" s="707"/>
      <c r="AF161" s="707"/>
      <c r="AG161" s="707"/>
      <c r="AH161" s="707"/>
      <c r="AI161" s="707"/>
      <c r="AJ161" s="707"/>
      <c r="AK161" s="707"/>
      <c r="AL161" s="707"/>
      <c r="AM161" s="707"/>
      <c r="AN161" s="707"/>
      <c r="AO161" s="707"/>
      <c r="AP161" s="707"/>
      <c r="AQ161" s="707"/>
      <c r="AR161" s="707"/>
      <c r="AS161" s="707"/>
      <c r="AT161" s="707"/>
      <c r="AU161" s="707"/>
      <c r="AV161" s="707"/>
      <c r="AW161" s="707"/>
      <c r="AX161" s="707"/>
      <c r="AY161" s="707"/>
      <c r="AZ161" s="707"/>
      <c r="BA161" s="707"/>
      <c r="BB161" s="707"/>
      <c r="BC161" s="707"/>
      <c r="BD161" s="707"/>
      <c r="BE161" s="707"/>
      <c r="BF161" s="707"/>
      <c r="BG161" s="707"/>
      <c r="BH161" s="707"/>
      <c r="BI161" s="707"/>
      <c r="BJ161" s="707"/>
      <c r="BK161" s="707"/>
      <c r="BL161" s="707"/>
      <c r="BM161" s="707"/>
      <c r="BN161" s="707"/>
      <c r="BO161" s="707"/>
      <c r="BP161" s="707"/>
      <c r="BQ161" s="707"/>
      <c r="BR161" s="707"/>
      <c r="BS161" s="707"/>
      <c r="BT161" s="707"/>
      <c r="BU161" s="707"/>
      <c r="BV161" s="707"/>
      <c r="BW161" s="707"/>
      <c r="BX161" s="707"/>
    </row>
    <row r="162" spans="1:76" ht="15">
      <c r="A162" s="707"/>
      <c r="B162" s="707"/>
      <c r="C162" s="707"/>
      <c r="D162" s="707"/>
      <c r="E162" s="707"/>
      <c r="F162" s="707"/>
      <c r="G162" s="707"/>
      <c r="H162" s="707"/>
      <c r="I162" s="707"/>
      <c r="J162" s="707"/>
      <c r="K162" s="707"/>
      <c r="L162" s="707"/>
      <c r="M162" s="707"/>
      <c r="N162" s="707"/>
      <c r="O162" s="707"/>
      <c r="P162" s="707"/>
      <c r="Q162" s="707"/>
      <c r="R162" s="707"/>
      <c r="S162" s="707"/>
      <c r="T162" s="707"/>
      <c r="U162" s="707"/>
      <c r="V162" s="707"/>
      <c r="W162" s="707"/>
      <c r="X162" s="707"/>
      <c r="Y162" s="707"/>
      <c r="Z162" s="707"/>
      <c r="AA162" s="707"/>
      <c r="AB162" s="707"/>
      <c r="AC162" s="707"/>
      <c r="AD162" s="707"/>
      <c r="AE162" s="707"/>
      <c r="AF162" s="707"/>
      <c r="AG162" s="707"/>
      <c r="AH162" s="707"/>
      <c r="AI162" s="707"/>
      <c r="AJ162" s="707"/>
      <c r="AK162" s="707"/>
      <c r="AL162" s="707"/>
      <c r="AM162" s="707"/>
      <c r="AN162" s="707"/>
      <c r="AO162" s="707"/>
      <c r="AP162" s="707"/>
      <c r="AQ162" s="707"/>
      <c r="AR162" s="707"/>
      <c r="AS162" s="707"/>
      <c r="AT162" s="707"/>
      <c r="AU162" s="707"/>
      <c r="AV162" s="707"/>
      <c r="AW162" s="707"/>
      <c r="AX162" s="707"/>
      <c r="AY162" s="707"/>
      <c r="AZ162" s="707"/>
      <c r="BA162" s="707"/>
      <c r="BB162" s="707"/>
      <c r="BC162" s="707"/>
      <c r="BD162" s="707"/>
      <c r="BE162" s="707"/>
      <c r="BF162" s="707"/>
      <c r="BG162" s="707"/>
      <c r="BH162" s="707"/>
      <c r="BI162" s="707"/>
      <c r="BJ162" s="707"/>
      <c r="BK162" s="707"/>
      <c r="BL162" s="707"/>
      <c r="BM162" s="707"/>
      <c r="BN162" s="707"/>
      <c r="BO162" s="707"/>
      <c r="BP162" s="707"/>
      <c r="BQ162" s="707"/>
      <c r="BR162" s="707"/>
      <c r="BS162" s="707"/>
      <c r="BT162" s="707"/>
      <c r="BU162" s="707"/>
      <c r="BV162" s="707"/>
      <c r="BW162" s="707"/>
      <c r="BX162" s="707"/>
    </row>
    <row r="163" spans="1:76" ht="15">
      <c r="A163" s="707"/>
      <c r="B163" s="707"/>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7"/>
      <c r="AJ163" s="707"/>
      <c r="AK163" s="707"/>
      <c r="AL163" s="707"/>
      <c r="AM163" s="707"/>
      <c r="AN163" s="707"/>
      <c r="AO163" s="707"/>
      <c r="AP163" s="707"/>
      <c r="AQ163" s="707"/>
      <c r="AR163" s="707"/>
      <c r="AS163" s="707"/>
      <c r="AT163" s="707"/>
      <c r="AU163" s="707"/>
      <c r="AV163" s="707"/>
      <c r="AW163" s="707"/>
      <c r="AX163" s="707"/>
      <c r="AY163" s="707"/>
      <c r="AZ163" s="707"/>
      <c r="BA163" s="707"/>
      <c r="BB163" s="707"/>
      <c r="BC163" s="707"/>
      <c r="BD163" s="707"/>
      <c r="BE163" s="707"/>
      <c r="BF163" s="707"/>
      <c r="BG163" s="707"/>
      <c r="BH163" s="707"/>
      <c r="BI163" s="707"/>
      <c r="BJ163" s="707"/>
      <c r="BK163" s="707"/>
      <c r="BL163" s="707"/>
      <c r="BM163" s="707"/>
      <c r="BN163" s="707"/>
      <c r="BO163" s="707"/>
      <c r="BP163" s="707"/>
      <c r="BQ163" s="707"/>
      <c r="BR163" s="707"/>
      <c r="BS163" s="707"/>
      <c r="BT163" s="707"/>
      <c r="BU163" s="707"/>
      <c r="BV163" s="707"/>
      <c r="BW163" s="707"/>
      <c r="BX163" s="707"/>
    </row>
    <row r="164" spans="1:76" ht="15">
      <c r="A164" s="707"/>
      <c r="B164" s="707"/>
      <c r="C164" s="707"/>
      <c r="D164" s="707"/>
      <c r="E164" s="707"/>
      <c r="F164" s="707"/>
      <c r="G164" s="707"/>
      <c r="H164" s="707"/>
      <c r="I164" s="707"/>
      <c r="J164" s="707"/>
      <c r="K164" s="707"/>
      <c r="L164" s="707"/>
      <c r="M164" s="707"/>
      <c r="N164" s="707"/>
      <c r="O164" s="707"/>
      <c r="P164" s="707"/>
      <c r="Q164" s="707"/>
      <c r="R164" s="707"/>
      <c r="S164" s="707"/>
      <c r="T164" s="707"/>
      <c r="U164" s="707"/>
      <c r="V164" s="707"/>
      <c r="W164" s="707"/>
      <c r="X164" s="707"/>
      <c r="Y164" s="707"/>
      <c r="Z164" s="707"/>
      <c r="AA164" s="707"/>
      <c r="AB164" s="707"/>
      <c r="AC164" s="707"/>
      <c r="AD164" s="707"/>
      <c r="AE164" s="707"/>
      <c r="AF164" s="707"/>
      <c r="AG164" s="707"/>
      <c r="AH164" s="707"/>
      <c r="AI164" s="707"/>
      <c r="AJ164" s="707"/>
      <c r="AK164" s="707"/>
      <c r="AL164" s="707"/>
      <c r="AM164" s="707"/>
      <c r="AN164" s="707"/>
      <c r="AO164" s="707"/>
      <c r="AP164" s="707"/>
      <c r="AQ164" s="707"/>
      <c r="AR164" s="707"/>
      <c r="AS164" s="707"/>
      <c r="AT164" s="707"/>
      <c r="AU164" s="707"/>
      <c r="AV164" s="707"/>
      <c r="AW164" s="707"/>
      <c r="AX164" s="707"/>
      <c r="AY164" s="707"/>
      <c r="AZ164" s="707"/>
      <c r="BA164" s="707"/>
      <c r="BB164" s="707"/>
      <c r="BC164" s="707"/>
      <c r="BD164" s="707"/>
      <c r="BE164" s="707"/>
      <c r="BF164" s="707"/>
      <c r="BG164" s="707"/>
      <c r="BH164" s="707"/>
      <c r="BI164" s="707"/>
      <c r="BJ164" s="707"/>
      <c r="BK164" s="707"/>
      <c r="BL164" s="707"/>
      <c r="BM164" s="707"/>
      <c r="BN164" s="707"/>
      <c r="BO164" s="707"/>
      <c r="BP164" s="707"/>
      <c r="BQ164" s="707"/>
      <c r="BR164" s="707"/>
      <c r="BS164" s="707"/>
      <c r="BT164" s="707"/>
      <c r="BU164" s="707"/>
      <c r="BV164" s="707"/>
      <c r="BW164" s="707"/>
      <c r="BX164" s="707"/>
    </row>
    <row r="165" spans="1:76" ht="15">
      <c r="A165" s="707"/>
      <c r="B165" s="707"/>
      <c r="C165" s="707"/>
      <c r="D165" s="707"/>
      <c r="E165" s="707"/>
      <c r="F165" s="707"/>
      <c r="G165" s="707"/>
      <c r="H165" s="707"/>
      <c r="I165" s="707"/>
      <c r="J165" s="707"/>
      <c r="K165" s="707"/>
      <c r="L165" s="707"/>
      <c r="M165" s="707"/>
      <c r="N165" s="707"/>
      <c r="O165" s="707"/>
      <c r="P165" s="707"/>
      <c r="Q165" s="707"/>
      <c r="R165" s="707"/>
      <c r="S165" s="707"/>
      <c r="T165" s="707"/>
      <c r="U165" s="707"/>
      <c r="V165" s="707"/>
      <c r="W165" s="707"/>
      <c r="X165" s="707"/>
      <c r="Y165" s="707"/>
      <c r="Z165" s="707"/>
      <c r="AA165" s="707"/>
      <c r="AB165" s="707"/>
      <c r="AC165" s="707"/>
      <c r="AD165" s="707"/>
      <c r="AE165" s="707"/>
      <c r="AF165" s="707"/>
      <c r="AG165" s="707"/>
      <c r="AH165" s="707"/>
      <c r="AI165" s="707"/>
      <c r="AJ165" s="707"/>
      <c r="AK165" s="707"/>
      <c r="AL165" s="707"/>
      <c r="AM165" s="707"/>
      <c r="AN165" s="707"/>
      <c r="AO165" s="707"/>
      <c r="AP165" s="707"/>
      <c r="AQ165" s="707"/>
      <c r="AR165" s="707"/>
      <c r="AS165" s="707"/>
      <c r="AT165" s="707"/>
      <c r="AU165" s="707"/>
      <c r="AV165" s="707"/>
      <c r="AW165" s="707"/>
      <c r="AX165" s="707"/>
      <c r="AY165" s="707"/>
      <c r="AZ165" s="707"/>
      <c r="BA165" s="707"/>
      <c r="BB165" s="707"/>
      <c r="BC165" s="707"/>
      <c r="BD165" s="707"/>
      <c r="BE165" s="707"/>
      <c r="BF165" s="707"/>
      <c r="BG165" s="707"/>
      <c r="BH165" s="707"/>
      <c r="BI165" s="707"/>
      <c r="BJ165" s="707"/>
      <c r="BK165" s="707"/>
      <c r="BL165" s="707"/>
      <c r="BM165" s="707"/>
      <c r="BN165" s="707"/>
      <c r="BO165" s="707"/>
      <c r="BP165" s="707"/>
      <c r="BQ165" s="707"/>
      <c r="BR165" s="707"/>
      <c r="BS165" s="707"/>
      <c r="BT165" s="707"/>
      <c r="BU165" s="707"/>
      <c r="BV165" s="707"/>
      <c r="BW165" s="707"/>
      <c r="BX165" s="707"/>
    </row>
    <row r="166" spans="1:76" ht="15">
      <c r="A166" s="707"/>
      <c r="B166" s="707"/>
      <c r="C166" s="707"/>
      <c r="D166" s="707"/>
      <c r="E166" s="707"/>
      <c r="F166" s="707"/>
      <c r="G166" s="707"/>
      <c r="H166" s="707"/>
      <c r="I166" s="707"/>
      <c r="J166" s="707"/>
      <c r="K166" s="707"/>
      <c r="L166" s="707"/>
      <c r="M166" s="707"/>
      <c r="N166" s="707"/>
      <c r="O166" s="707"/>
      <c r="P166" s="707"/>
      <c r="Q166" s="707"/>
      <c r="R166" s="707"/>
      <c r="S166" s="707"/>
      <c r="T166" s="707"/>
      <c r="U166" s="707"/>
      <c r="V166" s="707"/>
      <c r="W166" s="707"/>
      <c r="X166" s="707"/>
      <c r="Y166" s="707"/>
      <c r="Z166" s="707"/>
      <c r="AA166" s="707"/>
      <c r="AB166" s="707"/>
      <c r="AC166" s="707"/>
      <c r="AD166" s="707"/>
      <c r="AE166" s="707"/>
      <c r="AF166" s="707"/>
      <c r="AG166" s="707"/>
      <c r="AH166" s="707"/>
      <c r="AI166" s="707"/>
      <c r="AJ166" s="707"/>
      <c r="AK166" s="707"/>
      <c r="AL166" s="707"/>
      <c r="AM166" s="707"/>
      <c r="AN166" s="707"/>
      <c r="AO166" s="707"/>
      <c r="AP166" s="707"/>
      <c r="AQ166" s="707"/>
      <c r="AR166" s="707"/>
      <c r="AS166" s="707"/>
      <c r="AT166" s="707"/>
      <c r="AU166" s="707"/>
      <c r="AV166" s="707"/>
      <c r="AW166" s="707"/>
      <c r="AX166" s="707"/>
      <c r="AY166" s="707"/>
      <c r="AZ166" s="707"/>
      <c r="BA166" s="707"/>
      <c r="BB166" s="707"/>
      <c r="BC166" s="707"/>
      <c r="BD166" s="707"/>
      <c r="BE166" s="707"/>
      <c r="BF166" s="707"/>
      <c r="BG166" s="707"/>
      <c r="BH166" s="707"/>
      <c r="BI166" s="707"/>
      <c r="BJ166" s="707"/>
      <c r="BK166" s="707"/>
      <c r="BL166" s="707"/>
      <c r="BM166" s="707"/>
      <c r="BN166" s="707"/>
      <c r="BO166" s="707"/>
      <c r="BP166" s="707"/>
      <c r="BQ166" s="707"/>
      <c r="BR166" s="707"/>
      <c r="BS166" s="707"/>
      <c r="BT166" s="707"/>
      <c r="BU166" s="707"/>
      <c r="BV166" s="707"/>
      <c r="BW166" s="707"/>
      <c r="BX166" s="707"/>
    </row>
    <row r="167" spans="1:76" ht="15">
      <c r="A167" s="707"/>
      <c r="B167" s="707"/>
      <c r="C167" s="707"/>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707"/>
      <c r="AL167" s="707"/>
      <c r="AM167" s="707"/>
      <c r="AN167" s="707"/>
      <c r="AO167" s="707"/>
      <c r="AP167" s="707"/>
      <c r="AQ167" s="707"/>
      <c r="AR167" s="707"/>
      <c r="AS167" s="707"/>
      <c r="AT167" s="707"/>
      <c r="AU167" s="707"/>
      <c r="AV167" s="707"/>
      <c r="AW167" s="707"/>
      <c r="AX167" s="707"/>
      <c r="AY167" s="707"/>
      <c r="AZ167" s="707"/>
      <c r="BA167" s="707"/>
      <c r="BB167" s="707"/>
      <c r="BC167" s="707"/>
      <c r="BD167" s="707"/>
      <c r="BE167" s="707"/>
      <c r="BF167" s="707"/>
      <c r="BG167" s="707"/>
      <c r="BH167" s="707"/>
      <c r="BI167" s="707"/>
      <c r="BJ167" s="707"/>
      <c r="BK167" s="707"/>
      <c r="BL167" s="707"/>
      <c r="BM167" s="707"/>
      <c r="BN167" s="707"/>
      <c r="BO167" s="707"/>
      <c r="BP167" s="707"/>
      <c r="BQ167" s="707"/>
      <c r="BR167" s="707"/>
      <c r="BS167" s="707"/>
      <c r="BT167" s="707"/>
      <c r="BU167" s="707"/>
      <c r="BV167" s="707"/>
      <c r="BW167" s="707"/>
      <c r="BX167" s="707"/>
    </row>
    <row r="168" spans="1:76" ht="15">
      <c r="A168" s="707"/>
      <c r="B168" s="707"/>
      <c r="C168" s="707"/>
      <c r="D168" s="707"/>
      <c r="E168" s="707"/>
      <c r="F168" s="707"/>
      <c r="G168" s="707"/>
      <c r="H168" s="707"/>
      <c r="I168" s="707"/>
      <c r="J168" s="707"/>
      <c r="K168" s="707"/>
      <c r="L168" s="707"/>
      <c r="M168" s="707"/>
      <c r="N168" s="707"/>
      <c r="O168" s="707"/>
      <c r="P168" s="707"/>
      <c r="Q168" s="707"/>
      <c r="R168" s="707"/>
      <c r="S168" s="707"/>
      <c r="T168" s="707"/>
      <c r="U168" s="707"/>
      <c r="V168" s="707"/>
      <c r="W168" s="707"/>
      <c r="X168" s="707"/>
      <c r="Y168" s="707"/>
      <c r="Z168" s="707"/>
      <c r="AA168" s="707"/>
      <c r="AB168" s="707"/>
      <c r="AC168" s="707"/>
      <c r="AD168" s="707"/>
      <c r="AE168" s="707"/>
      <c r="AF168" s="707"/>
      <c r="AG168" s="707"/>
      <c r="AH168" s="707"/>
      <c r="AI168" s="707"/>
      <c r="AJ168" s="707"/>
      <c r="AK168" s="707"/>
      <c r="AL168" s="707"/>
      <c r="AM168" s="707"/>
      <c r="AN168" s="707"/>
      <c r="AO168" s="707"/>
      <c r="AP168" s="707"/>
      <c r="AQ168" s="707"/>
      <c r="AR168" s="707"/>
      <c r="AS168" s="707"/>
      <c r="AT168" s="707"/>
      <c r="AU168" s="707"/>
      <c r="AV168" s="707"/>
      <c r="AW168" s="707"/>
      <c r="AX168" s="707"/>
      <c r="AY168" s="707"/>
      <c r="AZ168" s="707"/>
      <c r="BA168" s="707"/>
      <c r="BB168" s="707"/>
      <c r="BC168" s="707"/>
      <c r="BD168" s="707"/>
      <c r="BE168" s="707"/>
      <c r="BF168" s="707"/>
      <c r="BG168" s="707"/>
      <c r="BH168" s="707"/>
      <c r="BI168" s="707"/>
      <c r="BJ168" s="707"/>
      <c r="BK168" s="707"/>
      <c r="BL168" s="707"/>
      <c r="BM168" s="707"/>
      <c r="BN168" s="707"/>
      <c r="BO168" s="707"/>
      <c r="BP168" s="707"/>
      <c r="BQ168" s="707"/>
      <c r="BR168" s="707"/>
      <c r="BS168" s="707"/>
      <c r="BT168" s="707"/>
      <c r="BU168" s="707"/>
      <c r="BV168" s="707"/>
      <c r="BW168" s="707"/>
      <c r="BX168" s="707"/>
    </row>
    <row r="169" spans="1:76" ht="15">
      <c r="A169" s="707"/>
      <c r="B169" s="707"/>
      <c r="C169" s="707"/>
      <c r="D169" s="707"/>
      <c r="E169" s="707"/>
      <c r="F169" s="707"/>
      <c r="G169" s="707"/>
      <c r="H169" s="707"/>
      <c r="I169" s="707"/>
      <c r="J169" s="707"/>
      <c r="K169" s="707"/>
      <c r="L169" s="707"/>
      <c r="M169" s="707"/>
      <c r="N169" s="707"/>
      <c r="O169" s="707"/>
      <c r="P169" s="707"/>
      <c r="Q169" s="707"/>
      <c r="R169" s="707"/>
      <c r="S169" s="707"/>
      <c r="T169" s="707"/>
      <c r="U169" s="707"/>
      <c r="V169" s="707"/>
      <c r="W169" s="707"/>
      <c r="X169" s="707"/>
      <c r="Y169" s="707"/>
      <c r="Z169" s="707"/>
      <c r="AA169" s="707"/>
      <c r="AB169" s="707"/>
      <c r="AC169" s="707"/>
      <c r="AD169" s="707"/>
      <c r="AE169" s="707"/>
      <c r="AF169" s="707"/>
      <c r="AG169" s="707"/>
      <c r="AH169" s="707"/>
      <c r="AI169" s="707"/>
      <c r="AJ169" s="707"/>
      <c r="AK169" s="707"/>
      <c r="AL169" s="707"/>
      <c r="AM169" s="707"/>
      <c r="AN169" s="707"/>
      <c r="AO169" s="707"/>
      <c r="AP169" s="707"/>
      <c r="AQ169" s="707"/>
      <c r="AR169" s="707"/>
      <c r="AS169" s="707"/>
      <c r="AT169" s="707"/>
      <c r="AU169" s="707"/>
      <c r="AV169" s="707"/>
      <c r="AW169" s="707"/>
      <c r="AX169" s="707"/>
      <c r="AY169" s="707"/>
      <c r="AZ169" s="707"/>
      <c r="BA169" s="707"/>
      <c r="BB169" s="707"/>
      <c r="BC169" s="707"/>
      <c r="BD169" s="707"/>
      <c r="BE169" s="707"/>
      <c r="BF169" s="707"/>
      <c r="BG169" s="707"/>
      <c r="BH169" s="707"/>
      <c r="BI169" s="707"/>
      <c r="BJ169" s="707"/>
      <c r="BK169" s="707"/>
      <c r="BL169" s="707"/>
      <c r="BM169" s="707"/>
      <c r="BN169" s="707"/>
      <c r="BO169" s="707"/>
      <c r="BP169" s="707"/>
      <c r="BQ169" s="707"/>
      <c r="BR169" s="707"/>
      <c r="BS169" s="707"/>
      <c r="BT169" s="707"/>
      <c r="BU169" s="707"/>
      <c r="BV169" s="707"/>
      <c r="BW169" s="707"/>
      <c r="BX169" s="707"/>
    </row>
    <row r="170" spans="1:76" ht="15">
      <c r="A170" s="707"/>
      <c r="B170" s="707"/>
      <c r="C170" s="707"/>
      <c r="D170" s="707"/>
      <c r="E170" s="707"/>
      <c r="F170" s="707"/>
      <c r="G170" s="707"/>
      <c r="H170" s="707"/>
      <c r="I170" s="707"/>
      <c r="J170" s="707"/>
      <c r="K170" s="707"/>
      <c r="L170" s="707"/>
      <c r="M170" s="707"/>
      <c r="N170" s="707"/>
      <c r="O170" s="707"/>
      <c r="P170" s="707"/>
      <c r="Q170" s="707"/>
      <c r="R170" s="707"/>
      <c r="S170" s="707"/>
      <c r="T170" s="707"/>
      <c r="U170" s="707"/>
      <c r="V170" s="707"/>
      <c r="W170" s="707"/>
      <c r="X170" s="707"/>
      <c r="Y170" s="707"/>
      <c r="Z170" s="707"/>
      <c r="AA170" s="707"/>
      <c r="AB170" s="707"/>
      <c r="AC170" s="707"/>
      <c r="AD170" s="707"/>
      <c r="AE170" s="707"/>
      <c r="AF170" s="707"/>
      <c r="AG170" s="707"/>
      <c r="AH170" s="707"/>
      <c r="AI170" s="707"/>
      <c r="AJ170" s="707"/>
      <c r="AK170" s="707"/>
      <c r="AL170" s="707"/>
      <c r="AM170" s="707"/>
      <c r="AN170" s="707"/>
      <c r="AO170" s="707"/>
      <c r="AP170" s="707"/>
      <c r="AQ170" s="707"/>
      <c r="AR170" s="707"/>
      <c r="AS170" s="707"/>
      <c r="AT170" s="707"/>
      <c r="AU170" s="707"/>
      <c r="AV170" s="707"/>
      <c r="AW170" s="707"/>
      <c r="AX170" s="707"/>
      <c r="AY170" s="707"/>
      <c r="AZ170" s="707"/>
      <c r="BA170" s="707"/>
      <c r="BB170" s="707"/>
      <c r="BC170" s="707"/>
      <c r="BD170" s="707"/>
      <c r="BE170" s="707"/>
      <c r="BF170" s="707"/>
      <c r="BG170" s="707"/>
      <c r="BH170" s="707"/>
      <c r="BI170" s="707"/>
      <c r="BJ170" s="707"/>
      <c r="BK170" s="707"/>
      <c r="BL170" s="707"/>
      <c r="BM170" s="707"/>
      <c r="BN170" s="707"/>
      <c r="BO170" s="707"/>
      <c r="BP170" s="707"/>
      <c r="BQ170" s="707"/>
      <c r="BR170" s="707"/>
      <c r="BS170" s="707"/>
      <c r="BT170" s="707"/>
      <c r="BU170" s="707"/>
      <c r="BV170" s="707"/>
      <c r="BW170" s="707"/>
      <c r="BX170" s="707"/>
    </row>
    <row r="171" spans="1:76" ht="15">
      <c r="A171" s="707"/>
      <c r="B171" s="707"/>
      <c r="C171" s="707"/>
      <c r="D171" s="707"/>
      <c r="E171" s="707"/>
      <c r="F171" s="707"/>
      <c r="G171" s="707"/>
      <c r="H171" s="707"/>
      <c r="I171" s="707"/>
      <c r="J171" s="707"/>
      <c r="K171" s="707"/>
      <c r="L171" s="707"/>
      <c r="M171" s="707"/>
      <c r="N171" s="707"/>
      <c r="O171" s="707"/>
      <c r="P171" s="707"/>
      <c r="Q171" s="707"/>
      <c r="R171" s="707"/>
      <c r="S171" s="707"/>
      <c r="T171" s="707"/>
      <c r="U171" s="707"/>
      <c r="V171" s="707"/>
      <c r="W171" s="707"/>
      <c r="X171" s="707"/>
      <c r="Y171" s="707"/>
      <c r="Z171" s="707"/>
      <c r="AA171" s="707"/>
      <c r="AB171" s="707"/>
      <c r="AC171" s="707"/>
      <c r="AD171" s="707"/>
      <c r="AE171" s="707"/>
      <c r="AF171" s="707"/>
      <c r="AG171" s="707"/>
      <c r="AH171" s="707"/>
      <c r="AI171" s="707"/>
      <c r="AJ171" s="707"/>
      <c r="AK171" s="707"/>
      <c r="AL171" s="707"/>
      <c r="AM171" s="707"/>
      <c r="AN171" s="707"/>
      <c r="AO171" s="707"/>
      <c r="AP171" s="707"/>
      <c r="AQ171" s="707"/>
      <c r="AR171" s="707"/>
      <c r="AS171" s="707"/>
      <c r="AT171" s="707"/>
      <c r="AU171" s="707"/>
      <c r="AV171" s="707"/>
      <c r="AW171" s="707"/>
      <c r="AX171" s="707"/>
      <c r="AY171" s="707"/>
      <c r="AZ171" s="707"/>
      <c r="BA171" s="707"/>
      <c r="BB171" s="707"/>
      <c r="BC171" s="707"/>
      <c r="BD171" s="707"/>
      <c r="BE171" s="707"/>
      <c r="BF171" s="707"/>
      <c r="BG171" s="707"/>
      <c r="BH171" s="707"/>
      <c r="BI171" s="707"/>
      <c r="BJ171" s="707"/>
      <c r="BK171" s="707"/>
      <c r="BL171" s="707"/>
      <c r="BM171" s="707"/>
      <c r="BN171" s="707"/>
      <c r="BO171" s="707"/>
      <c r="BP171" s="707"/>
      <c r="BQ171" s="707"/>
      <c r="BR171" s="707"/>
      <c r="BS171" s="707"/>
      <c r="BT171" s="707"/>
      <c r="BU171" s="707"/>
      <c r="BV171" s="707"/>
      <c r="BW171" s="707"/>
      <c r="BX171" s="707"/>
    </row>
    <row r="172" spans="1:76" ht="15">
      <c r="A172" s="707"/>
      <c r="B172" s="707"/>
      <c r="C172" s="707"/>
      <c r="D172" s="707"/>
      <c r="E172" s="707"/>
      <c r="F172" s="707"/>
      <c r="G172" s="707"/>
      <c r="H172" s="707"/>
      <c r="I172" s="707"/>
      <c r="J172" s="707"/>
      <c r="K172" s="707"/>
      <c r="L172" s="707"/>
      <c r="M172" s="707"/>
      <c r="N172" s="707"/>
      <c r="O172" s="707"/>
      <c r="P172" s="707"/>
      <c r="Q172" s="707"/>
      <c r="R172" s="707"/>
      <c r="S172" s="707"/>
      <c r="T172" s="707"/>
      <c r="U172" s="707"/>
      <c r="V172" s="707"/>
      <c r="W172" s="707"/>
      <c r="X172" s="707"/>
      <c r="Y172" s="707"/>
      <c r="Z172" s="707"/>
      <c r="AA172" s="707"/>
      <c r="AB172" s="707"/>
      <c r="AC172" s="707"/>
      <c r="AD172" s="707"/>
      <c r="AE172" s="707"/>
      <c r="AF172" s="707"/>
      <c r="AG172" s="707"/>
      <c r="AH172" s="707"/>
      <c r="AI172" s="707"/>
      <c r="AJ172" s="707"/>
      <c r="AK172" s="707"/>
      <c r="AL172" s="707"/>
      <c r="AM172" s="707"/>
      <c r="AN172" s="707"/>
      <c r="AO172" s="707"/>
      <c r="AP172" s="707"/>
      <c r="AQ172" s="707"/>
      <c r="AR172" s="707"/>
      <c r="AS172" s="707"/>
      <c r="AT172" s="707"/>
      <c r="AU172" s="707"/>
      <c r="AV172" s="707"/>
      <c r="AW172" s="707"/>
      <c r="AX172" s="707"/>
      <c r="AY172" s="707"/>
      <c r="AZ172" s="707"/>
      <c r="BA172" s="707"/>
      <c r="BB172" s="707"/>
      <c r="BC172" s="707"/>
      <c r="BD172" s="707"/>
      <c r="BE172" s="707"/>
      <c r="BF172" s="707"/>
      <c r="BG172" s="707"/>
      <c r="BH172" s="707"/>
      <c r="BI172" s="707"/>
      <c r="BJ172" s="707"/>
      <c r="BK172" s="707"/>
      <c r="BL172" s="707"/>
      <c r="BM172" s="707"/>
      <c r="BN172" s="707"/>
      <c r="BO172" s="707"/>
      <c r="BP172" s="707"/>
      <c r="BQ172" s="707"/>
      <c r="BR172" s="707"/>
      <c r="BS172" s="707"/>
      <c r="BT172" s="707"/>
      <c r="BU172" s="707"/>
      <c r="BV172" s="707"/>
      <c r="BW172" s="707"/>
      <c r="BX172" s="707"/>
    </row>
    <row r="173" spans="1:76" ht="15">
      <c r="A173" s="707"/>
      <c r="B173" s="707"/>
      <c r="C173" s="707"/>
      <c r="D173" s="707"/>
      <c r="E173" s="707"/>
      <c r="F173" s="707"/>
      <c r="G173" s="707"/>
      <c r="H173" s="707"/>
      <c r="I173" s="707"/>
      <c r="J173" s="707"/>
      <c r="K173" s="707"/>
      <c r="L173" s="707"/>
      <c r="M173" s="707"/>
      <c r="N173" s="707"/>
      <c r="O173" s="707"/>
      <c r="P173" s="707"/>
      <c r="Q173" s="707"/>
      <c r="R173" s="707"/>
      <c r="S173" s="707"/>
      <c r="T173" s="707"/>
      <c r="U173" s="707"/>
      <c r="V173" s="707"/>
      <c r="W173" s="707"/>
      <c r="X173" s="707"/>
      <c r="Y173" s="707"/>
      <c r="Z173" s="707"/>
      <c r="AA173" s="707"/>
      <c r="AB173" s="707"/>
      <c r="AC173" s="707"/>
      <c r="AD173" s="707"/>
      <c r="AE173" s="707"/>
      <c r="AF173" s="707"/>
      <c r="AG173" s="707"/>
      <c r="AH173" s="707"/>
      <c r="AI173" s="707"/>
      <c r="AJ173" s="707"/>
      <c r="AK173" s="707"/>
      <c r="AL173" s="707"/>
      <c r="AM173" s="707"/>
      <c r="AN173" s="707"/>
      <c r="AO173" s="707"/>
      <c r="AP173" s="707"/>
      <c r="AQ173" s="707"/>
      <c r="AR173" s="707"/>
      <c r="AS173" s="707"/>
      <c r="AT173" s="707"/>
      <c r="AU173" s="707"/>
      <c r="AV173" s="707"/>
      <c r="AW173" s="707"/>
      <c r="AX173" s="707"/>
      <c r="AY173" s="707"/>
      <c r="AZ173" s="707"/>
      <c r="BA173" s="707"/>
      <c r="BB173" s="707"/>
      <c r="BC173" s="707"/>
      <c r="BD173" s="707"/>
      <c r="BE173" s="707"/>
      <c r="BF173" s="707"/>
      <c r="BG173" s="707"/>
      <c r="BH173" s="707"/>
      <c r="BI173" s="707"/>
      <c r="BJ173" s="707"/>
      <c r="BK173" s="707"/>
      <c r="BL173" s="707"/>
      <c r="BM173" s="707"/>
      <c r="BN173" s="707"/>
      <c r="BO173" s="707"/>
      <c r="BP173" s="707"/>
      <c r="BQ173" s="707"/>
      <c r="BR173" s="707"/>
      <c r="BS173" s="707"/>
      <c r="BT173" s="707"/>
      <c r="BU173" s="707"/>
      <c r="BV173" s="707"/>
      <c r="BW173" s="707"/>
      <c r="BX173" s="707"/>
    </row>
    <row r="174" spans="1:76" ht="15">
      <c r="A174" s="707"/>
      <c r="B174" s="707"/>
      <c r="C174" s="707"/>
      <c r="D174" s="707"/>
      <c r="E174" s="707"/>
      <c r="F174" s="707"/>
      <c r="G174" s="707"/>
      <c r="H174" s="707"/>
      <c r="I174" s="707"/>
      <c r="J174" s="707"/>
      <c r="K174" s="707"/>
      <c r="L174" s="707"/>
      <c r="M174" s="707"/>
      <c r="N174" s="707"/>
      <c r="O174" s="707"/>
      <c r="P174" s="707"/>
      <c r="Q174" s="707"/>
      <c r="R174" s="707"/>
      <c r="S174" s="707"/>
      <c r="T174" s="707"/>
      <c r="U174" s="707"/>
      <c r="V174" s="707"/>
      <c r="W174" s="707"/>
      <c r="X174" s="707"/>
      <c r="Y174" s="707"/>
      <c r="Z174" s="707"/>
      <c r="AA174" s="707"/>
      <c r="AB174" s="707"/>
      <c r="AC174" s="707"/>
      <c r="AD174" s="707"/>
      <c r="AE174" s="707"/>
      <c r="AF174" s="707"/>
      <c r="AG174" s="707"/>
      <c r="AH174" s="707"/>
      <c r="AI174" s="707"/>
      <c r="AJ174" s="707"/>
      <c r="AK174" s="707"/>
      <c r="AL174" s="707"/>
      <c r="AM174" s="707"/>
      <c r="AN174" s="707"/>
      <c r="AO174" s="707"/>
      <c r="AP174" s="707"/>
      <c r="AQ174" s="707"/>
      <c r="AR174" s="707"/>
      <c r="AS174" s="707"/>
      <c r="AT174" s="707"/>
      <c r="AU174" s="707"/>
      <c r="AV174" s="707"/>
      <c r="AW174" s="707"/>
      <c r="AX174" s="707"/>
      <c r="AY174" s="707"/>
      <c r="AZ174" s="707"/>
      <c r="BA174" s="707"/>
      <c r="BB174" s="707"/>
      <c r="BC174" s="707"/>
      <c r="BD174" s="707"/>
      <c r="BE174" s="707"/>
      <c r="BF174" s="707"/>
      <c r="BG174" s="707"/>
      <c r="BH174" s="707"/>
      <c r="BI174" s="707"/>
      <c r="BJ174" s="707"/>
      <c r="BK174" s="707"/>
      <c r="BL174" s="707"/>
      <c r="BM174" s="707"/>
      <c r="BN174" s="707"/>
      <c r="BO174" s="707"/>
      <c r="BP174" s="707"/>
      <c r="BQ174" s="707"/>
      <c r="BR174" s="707"/>
      <c r="BS174" s="707"/>
      <c r="BT174" s="707"/>
      <c r="BU174" s="707"/>
      <c r="BV174" s="707"/>
      <c r="BW174" s="707"/>
      <c r="BX174" s="707"/>
    </row>
    <row r="175" spans="1:76" ht="15">
      <c r="A175" s="707"/>
      <c r="B175" s="707"/>
      <c r="C175" s="707"/>
      <c r="D175" s="707"/>
      <c r="E175" s="707"/>
      <c r="F175" s="707"/>
      <c r="G175" s="707"/>
      <c r="H175" s="707"/>
      <c r="I175" s="707"/>
      <c r="J175" s="707"/>
      <c r="K175" s="707"/>
      <c r="L175" s="707"/>
      <c r="M175" s="707"/>
      <c r="N175" s="707"/>
      <c r="O175" s="707"/>
      <c r="P175" s="707"/>
      <c r="Q175" s="707"/>
      <c r="R175" s="707"/>
      <c r="S175" s="707"/>
      <c r="T175" s="707"/>
      <c r="U175" s="707"/>
      <c r="V175" s="707"/>
      <c r="W175" s="707"/>
      <c r="X175" s="707"/>
      <c r="Y175" s="707"/>
      <c r="Z175" s="707"/>
      <c r="AA175" s="707"/>
      <c r="AB175" s="707"/>
      <c r="AC175" s="707"/>
      <c r="AD175" s="707"/>
      <c r="AE175" s="707"/>
      <c r="AF175" s="707"/>
      <c r="AG175" s="707"/>
      <c r="AH175" s="707"/>
      <c r="AI175" s="707"/>
      <c r="AJ175" s="707"/>
      <c r="AK175" s="707"/>
      <c r="AL175" s="707"/>
      <c r="AM175" s="707"/>
      <c r="AN175" s="707"/>
      <c r="AO175" s="707"/>
      <c r="AP175" s="707"/>
      <c r="AQ175" s="707"/>
      <c r="AR175" s="707"/>
      <c r="AS175" s="707"/>
      <c r="AT175" s="707"/>
      <c r="AU175" s="707"/>
      <c r="AV175" s="707"/>
      <c r="AW175" s="707"/>
      <c r="AX175" s="707"/>
      <c r="AY175" s="707"/>
      <c r="AZ175" s="707"/>
      <c r="BA175" s="707"/>
      <c r="BB175" s="707"/>
      <c r="BC175" s="707"/>
      <c r="BD175" s="707"/>
      <c r="BE175" s="707"/>
      <c r="BF175" s="707"/>
      <c r="BG175" s="707"/>
      <c r="BH175" s="707"/>
      <c r="BI175" s="707"/>
      <c r="BJ175" s="707"/>
      <c r="BK175" s="707"/>
      <c r="BL175" s="707"/>
      <c r="BM175" s="707"/>
      <c r="BN175" s="707"/>
      <c r="BO175" s="707"/>
      <c r="BP175" s="707"/>
      <c r="BQ175" s="707"/>
      <c r="BR175" s="707"/>
      <c r="BS175" s="707"/>
      <c r="BT175" s="707"/>
      <c r="BU175" s="707"/>
      <c r="BV175" s="707"/>
      <c r="BW175" s="707"/>
      <c r="BX175" s="707"/>
    </row>
    <row r="176" spans="1:76" ht="15">
      <c r="A176" s="707"/>
      <c r="B176" s="707"/>
      <c r="C176" s="707"/>
      <c r="D176" s="707"/>
      <c r="E176" s="707"/>
      <c r="F176" s="707"/>
      <c r="G176" s="707"/>
      <c r="H176" s="707"/>
      <c r="I176" s="707"/>
      <c r="J176" s="707"/>
      <c r="K176" s="707"/>
      <c r="L176" s="707"/>
      <c r="M176" s="707"/>
      <c r="N176" s="707"/>
      <c r="O176" s="707"/>
      <c r="P176" s="707"/>
      <c r="Q176" s="707"/>
      <c r="R176" s="707"/>
      <c r="S176" s="707"/>
      <c r="T176" s="707"/>
      <c r="U176" s="707"/>
      <c r="V176" s="707"/>
      <c r="W176" s="707"/>
      <c r="X176" s="707"/>
      <c r="Y176" s="707"/>
      <c r="Z176" s="707"/>
      <c r="AA176" s="707"/>
      <c r="AB176" s="707"/>
      <c r="AC176" s="707"/>
      <c r="AD176" s="707"/>
      <c r="AE176" s="707"/>
      <c r="AF176" s="707"/>
      <c r="AG176" s="707"/>
      <c r="AH176" s="707"/>
      <c r="AI176" s="707"/>
      <c r="AJ176" s="707"/>
      <c r="AK176" s="707"/>
      <c r="AL176" s="707"/>
      <c r="AM176" s="707"/>
      <c r="AN176" s="707"/>
      <c r="AO176" s="707"/>
      <c r="AP176" s="707"/>
      <c r="AQ176" s="707"/>
      <c r="AR176" s="707"/>
      <c r="AS176" s="707"/>
      <c r="AT176" s="707"/>
      <c r="AU176" s="707"/>
      <c r="AV176" s="707"/>
      <c r="AW176" s="707"/>
      <c r="AX176" s="707"/>
      <c r="AY176" s="707"/>
      <c r="AZ176" s="707"/>
      <c r="BA176" s="707"/>
      <c r="BB176" s="707"/>
      <c r="BC176" s="707"/>
      <c r="BD176" s="707"/>
      <c r="BE176" s="707"/>
      <c r="BF176" s="707"/>
      <c r="BG176" s="707"/>
      <c r="BH176" s="707"/>
      <c r="BI176" s="707"/>
      <c r="BJ176" s="707"/>
      <c r="BK176" s="707"/>
      <c r="BL176" s="707"/>
      <c r="BM176" s="707"/>
      <c r="BN176" s="707"/>
      <c r="BO176" s="707"/>
      <c r="BP176" s="707"/>
      <c r="BQ176" s="707"/>
      <c r="BR176" s="707"/>
      <c r="BS176" s="707"/>
      <c r="BT176" s="707"/>
      <c r="BU176" s="707"/>
      <c r="BV176" s="707"/>
      <c r="BW176" s="707"/>
      <c r="BX176" s="707"/>
    </row>
    <row r="177" spans="1:76" ht="15">
      <c r="A177" s="707"/>
      <c r="B177" s="707"/>
      <c r="C177" s="707"/>
      <c r="D177" s="707"/>
      <c r="E177" s="707"/>
      <c r="F177" s="707"/>
      <c r="G177" s="707"/>
      <c r="H177" s="707"/>
      <c r="I177" s="707"/>
      <c r="J177" s="707"/>
      <c r="K177" s="707"/>
      <c r="L177" s="707"/>
      <c r="M177" s="707"/>
      <c r="N177" s="707"/>
      <c r="O177" s="707"/>
      <c r="P177" s="707"/>
      <c r="Q177" s="707"/>
      <c r="R177" s="707"/>
      <c r="S177" s="707"/>
      <c r="T177" s="707"/>
      <c r="U177" s="707"/>
      <c r="V177" s="707"/>
      <c r="W177" s="707"/>
      <c r="X177" s="707"/>
      <c r="Y177" s="707"/>
      <c r="Z177" s="707"/>
      <c r="AA177" s="707"/>
      <c r="AB177" s="707"/>
      <c r="AC177" s="707"/>
      <c r="AD177" s="707"/>
      <c r="AE177" s="707"/>
      <c r="AF177" s="707"/>
      <c r="AG177" s="707"/>
      <c r="AH177" s="707"/>
      <c r="AI177" s="707"/>
      <c r="AJ177" s="707"/>
      <c r="AK177" s="707"/>
      <c r="AL177" s="707"/>
      <c r="AM177" s="707"/>
      <c r="AN177" s="707"/>
      <c r="AO177" s="707"/>
      <c r="AP177" s="707"/>
      <c r="AQ177" s="707"/>
      <c r="AR177" s="707"/>
      <c r="AS177" s="707"/>
      <c r="AT177" s="707"/>
      <c r="AU177" s="707"/>
      <c r="AV177" s="707"/>
      <c r="AW177" s="707"/>
      <c r="AX177" s="707"/>
      <c r="AY177" s="707"/>
      <c r="AZ177" s="707"/>
      <c r="BA177" s="707"/>
      <c r="BB177" s="707"/>
      <c r="BC177" s="707"/>
      <c r="BD177" s="707"/>
      <c r="BE177" s="707"/>
      <c r="BF177" s="707"/>
      <c r="BG177" s="707"/>
      <c r="BH177" s="707"/>
      <c r="BI177" s="707"/>
      <c r="BJ177" s="707"/>
      <c r="BK177" s="707"/>
      <c r="BL177" s="707"/>
      <c r="BM177" s="707"/>
      <c r="BN177" s="707"/>
      <c r="BO177" s="707"/>
      <c r="BP177" s="707"/>
      <c r="BQ177" s="707"/>
      <c r="BR177" s="707"/>
      <c r="BS177" s="707"/>
      <c r="BT177" s="707"/>
      <c r="BU177" s="707"/>
      <c r="BV177" s="707"/>
      <c r="BW177" s="707"/>
      <c r="BX177" s="707"/>
    </row>
    <row r="178" spans="1:76" ht="15">
      <c r="A178" s="707"/>
      <c r="B178" s="707"/>
      <c r="C178" s="707"/>
      <c r="D178" s="707"/>
      <c r="E178" s="707"/>
      <c r="F178" s="707"/>
      <c r="G178" s="707"/>
      <c r="H178" s="707"/>
      <c r="I178" s="707"/>
      <c r="J178" s="707"/>
      <c r="K178" s="707"/>
      <c r="L178" s="707"/>
      <c r="M178" s="707"/>
      <c r="N178" s="707"/>
      <c r="O178" s="707"/>
      <c r="P178" s="707"/>
      <c r="Q178" s="707"/>
      <c r="R178" s="707"/>
      <c r="S178" s="707"/>
      <c r="T178" s="707"/>
      <c r="U178" s="707"/>
      <c r="V178" s="707"/>
      <c r="W178" s="707"/>
      <c r="X178" s="707"/>
      <c r="Y178" s="707"/>
      <c r="Z178" s="707"/>
      <c r="AA178" s="707"/>
      <c r="AB178" s="707"/>
      <c r="AC178" s="707"/>
      <c r="AD178" s="707"/>
      <c r="AE178" s="707"/>
      <c r="AF178" s="707"/>
      <c r="AG178" s="707"/>
      <c r="AH178" s="707"/>
      <c r="AI178" s="707"/>
      <c r="AJ178" s="707"/>
      <c r="AK178" s="707"/>
      <c r="AL178" s="707"/>
      <c r="AM178" s="707"/>
      <c r="AN178" s="707"/>
      <c r="AO178" s="707"/>
      <c r="AP178" s="707"/>
      <c r="AQ178" s="707"/>
      <c r="AR178" s="707"/>
      <c r="AS178" s="707"/>
      <c r="AT178" s="707"/>
      <c r="AU178" s="707"/>
      <c r="AV178" s="707"/>
      <c r="AW178" s="707"/>
      <c r="AX178" s="707"/>
      <c r="AY178" s="707"/>
      <c r="AZ178" s="707"/>
      <c r="BA178" s="707"/>
      <c r="BB178" s="707"/>
      <c r="BC178" s="707"/>
      <c r="BD178" s="707"/>
      <c r="BE178" s="707"/>
      <c r="BF178" s="707"/>
      <c r="BG178" s="707"/>
      <c r="BH178" s="707"/>
      <c r="BI178" s="707"/>
      <c r="BJ178" s="707"/>
      <c r="BK178" s="707"/>
      <c r="BL178" s="707"/>
      <c r="BM178" s="707"/>
      <c r="BN178" s="707"/>
      <c r="BO178" s="707"/>
      <c r="BP178" s="707"/>
      <c r="BQ178" s="707"/>
      <c r="BR178" s="707"/>
      <c r="BS178" s="707"/>
      <c r="BT178" s="707"/>
      <c r="BU178" s="707"/>
      <c r="BV178" s="707"/>
      <c r="BW178" s="707"/>
      <c r="BX178" s="707"/>
    </row>
    <row r="179" spans="1:76" ht="15">
      <c r="A179" s="707"/>
      <c r="B179" s="707"/>
      <c r="C179" s="707"/>
      <c r="D179" s="707"/>
      <c r="E179" s="707"/>
      <c r="F179" s="707"/>
      <c r="G179" s="707"/>
      <c r="H179" s="707"/>
      <c r="I179" s="707"/>
      <c r="J179" s="707"/>
      <c r="K179" s="707"/>
      <c r="L179" s="707"/>
      <c r="M179" s="707"/>
      <c r="N179" s="707"/>
      <c r="O179" s="707"/>
      <c r="P179" s="707"/>
      <c r="Q179" s="707"/>
      <c r="R179" s="707"/>
      <c r="S179" s="707"/>
      <c r="T179" s="707"/>
      <c r="U179" s="707"/>
      <c r="V179" s="707"/>
      <c r="W179" s="707"/>
      <c r="X179" s="707"/>
      <c r="Y179" s="707"/>
      <c r="Z179" s="707"/>
      <c r="AA179" s="707"/>
      <c r="AB179" s="707"/>
      <c r="AC179" s="707"/>
      <c r="AD179" s="707"/>
      <c r="AE179" s="707"/>
      <c r="AF179" s="707"/>
      <c r="AG179" s="707"/>
      <c r="AH179" s="707"/>
      <c r="AI179" s="707"/>
      <c r="AJ179" s="707"/>
      <c r="AK179" s="707"/>
      <c r="AL179" s="707"/>
      <c r="AM179" s="707"/>
      <c r="AN179" s="707"/>
      <c r="AO179" s="707"/>
      <c r="AP179" s="707"/>
      <c r="AQ179" s="707"/>
      <c r="AR179" s="707"/>
      <c r="AS179" s="707"/>
      <c r="AT179" s="707"/>
      <c r="AU179" s="707"/>
      <c r="AV179" s="707"/>
      <c r="AW179" s="707"/>
      <c r="AX179" s="707"/>
      <c r="AY179" s="707"/>
      <c r="AZ179" s="707"/>
      <c r="BA179" s="707"/>
      <c r="BB179" s="707"/>
      <c r="BC179" s="707"/>
      <c r="BD179" s="707"/>
      <c r="BE179" s="707"/>
      <c r="BF179" s="707"/>
      <c r="BG179" s="707"/>
      <c r="BH179" s="707"/>
      <c r="BI179" s="707"/>
      <c r="BJ179" s="707"/>
      <c r="BK179" s="707"/>
      <c r="BL179" s="707"/>
      <c r="BM179" s="707"/>
      <c r="BN179" s="707"/>
      <c r="BO179" s="707"/>
      <c r="BP179" s="707"/>
      <c r="BQ179" s="707"/>
      <c r="BR179" s="707"/>
      <c r="BS179" s="707"/>
      <c r="BT179" s="707"/>
      <c r="BU179" s="707"/>
      <c r="BV179" s="707"/>
      <c r="BW179" s="707"/>
      <c r="BX179" s="707"/>
    </row>
    <row r="180" spans="1:76" ht="15">
      <c r="A180" s="707"/>
      <c r="B180" s="707"/>
      <c r="C180" s="707"/>
      <c r="D180" s="707"/>
      <c r="E180" s="707"/>
      <c r="F180" s="707"/>
      <c r="G180" s="707"/>
      <c r="H180" s="707"/>
      <c r="I180" s="707"/>
      <c r="J180" s="707"/>
      <c r="K180" s="707"/>
      <c r="L180" s="707"/>
      <c r="M180" s="707"/>
      <c r="N180" s="707"/>
      <c r="O180" s="707"/>
      <c r="P180" s="707"/>
      <c r="Q180" s="707"/>
      <c r="R180" s="707"/>
      <c r="S180" s="707"/>
      <c r="T180" s="707"/>
      <c r="U180" s="707"/>
      <c r="V180" s="707"/>
      <c r="W180" s="707"/>
      <c r="X180" s="707"/>
      <c r="Y180" s="707"/>
      <c r="Z180" s="707"/>
      <c r="AA180" s="707"/>
      <c r="AB180" s="707"/>
      <c r="AC180" s="707"/>
      <c r="AD180" s="707"/>
      <c r="AE180" s="707"/>
      <c r="AF180" s="707"/>
      <c r="AG180" s="707"/>
      <c r="AH180" s="707"/>
      <c r="AI180" s="707"/>
      <c r="AJ180" s="707"/>
      <c r="AK180" s="707"/>
      <c r="AL180" s="707"/>
      <c r="AM180" s="707"/>
      <c r="AN180" s="707"/>
      <c r="AO180" s="707"/>
      <c r="AP180" s="707"/>
      <c r="AQ180" s="707"/>
      <c r="AR180" s="707"/>
      <c r="AS180" s="707"/>
      <c r="AT180" s="707"/>
      <c r="AU180" s="707"/>
      <c r="AV180" s="707"/>
      <c r="AW180" s="707"/>
      <c r="AX180" s="707"/>
      <c r="AY180" s="707"/>
      <c r="AZ180" s="707"/>
      <c r="BA180" s="707"/>
      <c r="BB180" s="707"/>
      <c r="BC180" s="707"/>
      <c r="BD180" s="707"/>
      <c r="BE180" s="707"/>
      <c r="BF180" s="707"/>
      <c r="BG180" s="707"/>
      <c r="BH180" s="707"/>
      <c r="BI180" s="707"/>
      <c r="BJ180" s="707"/>
      <c r="BK180" s="707"/>
      <c r="BL180" s="707"/>
      <c r="BM180" s="707"/>
      <c r="BN180" s="707"/>
      <c r="BO180" s="707"/>
      <c r="BP180" s="707"/>
      <c r="BQ180" s="707"/>
      <c r="BR180" s="707"/>
      <c r="BS180" s="707"/>
      <c r="BT180" s="707"/>
      <c r="BU180" s="707"/>
      <c r="BV180" s="707"/>
      <c r="BW180" s="707"/>
      <c r="BX180" s="707"/>
    </row>
    <row r="181" spans="1:76" ht="15">
      <c r="A181" s="707"/>
      <c r="B181" s="707"/>
      <c r="C181" s="707"/>
      <c r="D181" s="707"/>
      <c r="E181" s="707"/>
      <c r="F181" s="707"/>
      <c r="G181" s="707"/>
      <c r="H181" s="707"/>
      <c r="I181" s="707"/>
      <c r="J181" s="707"/>
      <c r="K181" s="707"/>
      <c r="L181" s="707"/>
      <c r="M181" s="707"/>
      <c r="N181" s="707"/>
      <c r="O181" s="707"/>
      <c r="P181" s="707"/>
      <c r="Q181" s="707"/>
      <c r="R181" s="707"/>
      <c r="S181" s="707"/>
      <c r="T181" s="707"/>
      <c r="U181" s="707"/>
      <c r="V181" s="707"/>
      <c r="W181" s="707"/>
      <c r="X181" s="707"/>
      <c r="Y181" s="707"/>
      <c r="Z181" s="707"/>
      <c r="AA181" s="707"/>
      <c r="AB181" s="707"/>
      <c r="AC181" s="707"/>
      <c r="AD181" s="707"/>
      <c r="AE181" s="707"/>
      <c r="AF181" s="707"/>
      <c r="AG181" s="707"/>
      <c r="AH181" s="707"/>
      <c r="AI181" s="707"/>
      <c r="AJ181" s="707"/>
      <c r="AK181" s="707"/>
      <c r="AL181" s="707"/>
      <c r="AM181" s="707"/>
      <c r="AN181" s="707"/>
      <c r="AO181" s="707"/>
      <c r="AP181" s="707"/>
      <c r="AQ181" s="707"/>
      <c r="AR181" s="707"/>
      <c r="AS181" s="707"/>
      <c r="AT181" s="707"/>
      <c r="AU181" s="707"/>
      <c r="AV181" s="707"/>
      <c r="AW181" s="707"/>
      <c r="AX181" s="707"/>
      <c r="AY181" s="707"/>
      <c r="AZ181" s="707"/>
      <c r="BA181" s="707"/>
      <c r="BB181" s="707"/>
      <c r="BC181" s="707"/>
      <c r="BD181" s="707"/>
      <c r="BE181" s="707"/>
      <c r="BF181" s="707"/>
      <c r="BG181" s="707"/>
      <c r="BH181" s="707"/>
      <c r="BI181" s="707"/>
      <c r="BJ181" s="707"/>
      <c r="BK181" s="707"/>
      <c r="BL181" s="707"/>
      <c r="BM181" s="707"/>
      <c r="BN181" s="707"/>
      <c r="BO181" s="707"/>
      <c r="BP181" s="707"/>
      <c r="BQ181" s="707"/>
      <c r="BR181" s="707"/>
      <c r="BS181" s="707"/>
      <c r="BT181" s="707"/>
      <c r="BU181" s="707"/>
      <c r="BV181" s="707"/>
      <c r="BW181" s="707"/>
      <c r="BX181" s="707"/>
    </row>
    <row r="182" spans="1:76" ht="15">
      <c r="A182" s="707"/>
      <c r="B182" s="707"/>
      <c r="C182" s="707"/>
      <c r="D182" s="707"/>
      <c r="E182" s="707"/>
      <c r="F182" s="707"/>
      <c r="G182" s="707"/>
      <c r="H182" s="707"/>
      <c r="I182" s="707"/>
      <c r="J182" s="707"/>
      <c r="K182" s="707"/>
      <c r="L182" s="707"/>
      <c r="M182" s="707"/>
      <c r="N182" s="707"/>
      <c r="O182" s="707"/>
      <c r="P182" s="707"/>
      <c r="Q182" s="707"/>
      <c r="R182" s="707"/>
      <c r="S182" s="707"/>
      <c r="T182" s="707"/>
      <c r="U182" s="707"/>
      <c r="V182" s="707"/>
      <c r="W182" s="707"/>
      <c r="X182" s="707"/>
      <c r="Y182" s="707"/>
      <c r="Z182" s="707"/>
      <c r="AA182" s="707"/>
      <c r="AB182" s="707"/>
      <c r="AC182" s="707"/>
      <c r="AD182" s="707"/>
      <c r="AE182" s="707"/>
      <c r="AF182" s="707"/>
      <c r="AG182" s="707"/>
      <c r="AH182" s="707"/>
      <c r="AI182" s="707"/>
      <c r="AJ182" s="707"/>
      <c r="AK182" s="707"/>
      <c r="AL182" s="707"/>
      <c r="AM182" s="707"/>
      <c r="AN182" s="707"/>
      <c r="AO182" s="707"/>
      <c r="AP182" s="707"/>
      <c r="AQ182" s="707"/>
      <c r="AR182" s="707"/>
      <c r="AS182" s="707"/>
      <c r="AT182" s="707"/>
      <c r="AU182" s="707"/>
      <c r="AV182" s="707"/>
      <c r="AW182" s="707"/>
      <c r="AX182" s="707"/>
      <c r="AY182" s="707"/>
      <c r="AZ182" s="707"/>
      <c r="BA182" s="707"/>
      <c r="BB182" s="707"/>
      <c r="BC182" s="707"/>
      <c r="BD182" s="707"/>
      <c r="BE182" s="707"/>
      <c r="BF182" s="707"/>
      <c r="BG182" s="707"/>
      <c r="BH182" s="707"/>
      <c r="BI182" s="707"/>
      <c r="BJ182" s="707"/>
      <c r="BK182" s="707"/>
      <c r="BL182" s="707"/>
      <c r="BM182" s="707"/>
      <c r="BN182" s="707"/>
      <c r="BO182" s="707"/>
      <c r="BP182" s="707"/>
      <c r="BQ182" s="707"/>
      <c r="BR182" s="707"/>
      <c r="BS182" s="707"/>
      <c r="BT182" s="707"/>
      <c r="BU182" s="707"/>
      <c r="BV182" s="707"/>
      <c r="BW182" s="707"/>
      <c r="BX182" s="707"/>
    </row>
    <row r="183" spans="1:76" ht="15">
      <c r="A183" s="707"/>
      <c r="B183" s="707"/>
      <c r="C183" s="707"/>
      <c r="D183" s="707"/>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707"/>
      <c r="AM183" s="707"/>
      <c r="AN183" s="707"/>
      <c r="AO183" s="707"/>
      <c r="AP183" s="707"/>
      <c r="AQ183" s="707"/>
      <c r="AR183" s="707"/>
      <c r="AS183" s="707"/>
      <c r="AT183" s="707"/>
      <c r="AU183" s="707"/>
      <c r="AV183" s="707"/>
      <c r="AW183" s="707"/>
      <c r="AX183" s="707"/>
      <c r="AY183" s="707"/>
      <c r="AZ183" s="707"/>
      <c r="BA183" s="707"/>
      <c r="BB183" s="707"/>
      <c r="BC183" s="707"/>
      <c r="BD183" s="707"/>
      <c r="BE183" s="707"/>
      <c r="BF183" s="707"/>
      <c r="BG183" s="707"/>
      <c r="BH183" s="707"/>
      <c r="BI183" s="707"/>
      <c r="BJ183" s="707"/>
      <c r="BK183" s="707"/>
      <c r="BL183" s="707"/>
      <c r="BM183" s="707"/>
      <c r="BN183" s="707"/>
      <c r="BO183" s="707"/>
      <c r="BP183" s="707"/>
      <c r="BQ183" s="707"/>
      <c r="BR183" s="707"/>
      <c r="BS183" s="707"/>
      <c r="BT183" s="707"/>
      <c r="BU183" s="707"/>
      <c r="BV183" s="707"/>
      <c r="BW183" s="707"/>
      <c r="BX183" s="707"/>
    </row>
    <row r="184" spans="1:76" ht="15">
      <c r="A184" s="707"/>
      <c r="B184" s="707"/>
      <c r="C184" s="707"/>
      <c r="D184" s="707"/>
      <c r="E184" s="707"/>
      <c r="F184" s="707"/>
      <c r="G184" s="707"/>
      <c r="H184" s="707"/>
      <c r="I184" s="707"/>
      <c r="J184" s="707"/>
      <c r="K184" s="707"/>
      <c r="L184" s="707"/>
      <c r="M184" s="707"/>
      <c r="N184" s="707"/>
      <c r="O184" s="707"/>
      <c r="P184" s="707"/>
      <c r="Q184" s="707"/>
      <c r="R184" s="707"/>
      <c r="S184" s="707"/>
      <c r="T184" s="707"/>
      <c r="U184" s="707"/>
      <c r="V184" s="707"/>
      <c r="W184" s="707"/>
      <c r="X184" s="707"/>
      <c r="Y184" s="707"/>
      <c r="Z184" s="707"/>
      <c r="AA184" s="707"/>
      <c r="AB184" s="707"/>
      <c r="AC184" s="707"/>
      <c r="AD184" s="707"/>
      <c r="AE184" s="707"/>
      <c r="AF184" s="707"/>
      <c r="AG184" s="707"/>
      <c r="AH184" s="707"/>
      <c r="AI184" s="707"/>
      <c r="AJ184" s="707"/>
      <c r="AK184" s="707"/>
      <c r="AL184" s="707"/>
      <c r="AM184" s="707"/>
      <c r="AN184" s="707"/>
      <c r="AO184" s="707"/>
      <c r="AP184" s="707"/>
      <c r="AQ184" s="707"/>
      <c r="AR184" s="707"/>
      <c r="AS184" s="707"/>
      <c r="AT184" s="707"/>
      <c r="AU184" s="707"/>
      <c r="AV184" s="707"/>
      <c r="AW184" s="707"/>
      <c r="AX184" s="707"/>
      <c r="AY184" s="707"/>
      <c r="AZ184" s="707"/>
      <c r="BA184" s="707"/>
      <c r="BB184" s="707"/>
      <c r="BC184" s="707"/>
      <c r="BD184" s="707"/>
      <c r="BE184" s="707"/>
      <c r="BF184" s="707"/>
      <c r="BG184" s="707"/>
      <c r="BH184" s="707"/>
      <c r="BI184" s="707"/>
      <c r="BJ184" s="707"/>
      <c r="BK184" s="707"/>
      <c r="BL184" s="707"/>
      <c r="BM184" s="707"/>
      <c r="BN184" s="707"/>
      <c r="BO184" s="707"/>
      <c r="BP184" s="707"/>
      <c r="BQ184" s="707"/>
      <c r="BR184" s="707"/>
      <c r="BS184" s="707"/>
      <c r="BT184" s="707"/>
      <c r="BU184" s="707"/>
      <c r="BV184" s="707"/>
      <c r="BW184" s="707"/>
      <c r="BX184" s="707"/>
    </row>
    <row r="185" spans="1:76" ht="15">
      <c r="A185" s="707"/>
      <c r="B185" s="707"/>
      <c r="C185" s="707"/>
      <c r="D185" s="707"/>
      <c r="E185" s="707"/>
      <c r="F185" s="707"/>
      <c r="G185" s="707"/>
      <c r="H185" s="707"/>
      <c r="I185" s="707"/>
      <c r="J185" s="707"/>
      <c r="K185" s="707"/>
      <c r="L185" s="707"/>
      <c r="M185" s="707"/>
      <c r="N185" s="707"/>
      <c r="O185" s="707"/>
      <c r="P185" s="707"/>
      <c r="Q185" s="707"/>
      <c r="R185" s="707"/>
      <c r="S185" s="707"/>
      <c r="T185" s="707"/>
      <c r="U185" s="707"/>
      <c r="V185" s="707"/>
      <c r="W185" s="707"/>
      <c r="X185" s="707"/>
      <c r="Y185" s="707"/>
      <c r="Z185" s="707"/>
      <c r="AA185" s="707"/>
      <c r="AB185" s="707"/>
      <c r="AC185" s="707"/>
      <c r="AD185" s="707"/>
      <c r="AE185" s="707"/>
      <c r="AF185" s="707"/>
      <c r="AG185" s="707"/>
      <c r="AH185" s="707"/>
      <c r="AI185" s="707"/>
      <c r="AJ185" s="707"/>
      <c r="AK185" s="707"/>
      <c r="AL185" s="707"/>
      <c r="AM185" s="707"/>
      <c r="AN185" s="707"/>
      <c r="AO185" s="707"/>
      <c r="AP185" s="707"/>
      <c r="AQ185" s="707"/>
      <c r="AR185" s="707"/>
      <c r="AS185" s="707"/>
      <c r="AT185" s="707"/>
      <c r="AU185" s="707"/>
      <c r="AV185" s="707"/>
      <c r="AW185" s="707"/>
      <c r="AX185" s="707"/>
      <c r="AY185" s="707"/>
      <c r="AZ185" s="707"/>
      <c r="BA185" s="707"/>
      <c r="BB185" s="707"/>
      <c r="BC185" s="707"/>
      <c r="BD185" s="707"/>
      <c r="BE185" s="707"/>
      <c r="BF185" s="707"/>
      <c r="BG185" s="707"/>
      <c r="BH185" s="707"/>
      <c r="BI185" s="707"/>
      <c r="BJ185" s="707"/>
      <c r="BK185" s="707"/>
      <c r="BL185" s="707"/>
      <c r="BM185" s="707"/>
      <c r="BN185" s="707"/>
      <c r="BO185" s="707"/>
      <c r="BP185" s="707"/>
      <c r="BQ185" s="707"/>
      <c r="BR185" s="707"/>
      <c r="BS185" s="707"/>
      <c r="BT185" s="707"/>
      <c r="BU185" s="707"/>
      <c r="BV185" s="707"/>
      <c r="BW185" s="707"/>
      <c r="BX185" s="707"/>
    </row>
    <row r="186" spans="1:76" ht="15">
      <c r="A186" s="707"/>
      <c r="B186" s="707"/>
      <c r="C186" s="707"/>
      <c r="D186" s="707"/>
      <c r="E186" s="707"/>
      <c r="F186" s="707"/>
      <c r="G186" s="707"/>
      <c r="H186" s="707"/>
      <c r="I186" s="707"/>
      <c r="J186" s="707"/>
      <c r="K186" s="707"/>
      <c r="L186" s="707"/>
      <c r="M186" s="707"/>
      <c r="N186" s="707"/>
      <c r="O186" s="707"/>
      <c r="P186" s="707"/>
      <c r="Q186" s="707"/>
      <c r="R186" s="707"/>
      <c r="S186" s="707"/>
      <c r="T186" s="707"/>
      <c r="U186" s="707"/>
      <c r="V186" s="707"/>
      <c r="W186" s="707"/>
      <c r="X186" s="707"/>
      <c r="Y186" s="707"/>
      <c r="Z186" s="707"/>
      <c r="AA186" s="707"/>
      <c r="AB186" s="707"/>
      <c r="AC186" s="707"/>
      <c r="AD186" s="707"/>
      <c r="AE186" s="707"/>
      <c r="AF186" s="707"/>
      <c r="AG186" s="707"/>
      <c r="AH186" s="707"/>
      <c r="AI186" s="707"/>
      <c r="AJ186" s="707"/>
      <c r="AK186" s="707"/>
      <c r="AL186" s="707"/>
      <c r="AM186" s="707"/>
      <c r="AN186" s="707"/>
      <c r="AO186" s="707"/>
      <c r="AP186" s="707"/>
      <c r="AQ186" s="707"/>
      <c r="AR186" s="707"/>
      <c r="AS186" s="707"/>
      <c r="AT186" s="707"/>
      <c r="AU186" s="707"/>
      <c r="AV186" s="707"/>
      <c r="AW186" s="707"/>
      <c r="AX186" s="707"/>
      <c r="AY186" s="707"/>
      <c r="AZ186" s="707"/>
      <c r="BA186" s="707"/>
      <c r="BB186" s="707"/>
      <c r="BC186" s="707"/>
      <c r="BD186" s="707"/>
      <c r="BE186" s="707"/>
      <c r="BF186" s="707"/>
      <c r="BG186" s="707"/>
      <c r="BH186" s="707"/>
      <c r="BI186" s="707"/>
      <c r="BJ186" s="707"/>
      <c r="BK186" s="707"/>
      <c r="BL186" s="707"/>
      <c r="BM186" s="707"/>
      <c r="BN186" s="707"/>
      <c r="BO186" s="707"/>
      <c r="BP186" s="707"/>
      <c r="BQ186" s="707"/>
      <c r="BR186" s="707"/>
      <c r="BS186" s="707"/>
      <c r="BT186" s="707"/>
      <c r="BU186" s="707"/>
      <c r="BV186" s="707"/>
      <c r="BW186" s="707"/>
      <c r="BX186" s="707"/>
    </row>
    <row r="187" spans="1:76" ht="15">
      <c r="A187" s="707"/>
      <c r="B187" s="707"/>
      <c r="C187" s="707"/>
      <c r="D187" s="707"/>
      <c r="E187" s="707"/>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7"/>
      <c r="AY187" s="707"/>
      <c r="AZ187" s="707"/>
      <c r="BA187" s="707"/>
      <c r="BB187" s="707"/>
      <c r="BC187" s="707"/>
      <c r="BD187" s="707"/>
      <c r="BE187" s="707"/>
      <c r="BF187" s="707"/>
      <c r="BG187" s="707"/>
      <c r="BH187" s="707"/>
      <c r="BI187" s="707"/>
      <c r="BJ187" s="707"/>
      <c r="BK187" s="707"/>
      <c r="BL187" s="707"/>
      <c r="BM187" s="707"/>
      <c r="BN187" s="707"/>
      <c r="BO187" s="707"/>
      <c r="BP187" s="707"/>
      <c r="BQ187" s="707"/>
      <c r="BR187" s="707"/>
      <c r="BS187" s="707"/>
      <c r="BT187" s="707"/>
      <c r="BU187" s="707"/>
      <c r="BV187" s="707"/>
      <c r="BW187" s="707"/>
      <c r="BX187" s="707"/>
    </row>
    <row r="188" spans="1:76" ht="15">
      <c r="A188" s="707"/>
      <c r="B188" s="707"/>
      <c r="C188" s="707"/>
      <c r="D188" s="707"/>
      <c r="E188" s="707"/>
      <c r="F188" s="707"/>
      <c r="G188" s="707"/>
      <c r="H188" s="707"/>
      <c r="I188" s="707"/>
      <c r="J188" s="707"/>
      <c r="K188" s="707"/>
      <c r="L188" s="707"/>
      <c r="M188" s="707"/>
      <c r="N188" s="707"/>
      <c r="O188" s="707"/>
      <c r="P188" s="707"/>
      <c r="Q188" s="707"/>
      <c r="R188" s="707"/>
      <c r="S188" s="707"/>
      <c r="T188" s="707"/>
      <c r="U188" s="707"/>
      <c r="V188" s="707"/>
      <c r="W188" s="707"/>
      <c r="X188" s="707"/>
      <c r="Y188" s="707"/>
      <c r="Z188" s="707"/>
      <c r="AA188" s="707"/>
      <c r="AB188" s="707"/>
      <c r="AC188" s="707"/>
      <c r="AD188" s="707"/>
      <c r="AE188" s="707"/>
      <c r="AF188" s="707"/>
      <c r="AG188" s="707"/>
      <c r="AH188" s="707"/>
      <c r="AI188" s="707"/>
      <c r="AJ188" s="707"/>
      <c r="AK188" s="707"/>
      <c r="AL188" s="707"/>
      <c r="AM188" s="707"/>
      <c r="AN188" s="707"/>
      <c r="AO188" s="707"/>
      <c r="AP188" s="707"/>
      <c r="AQ188" s="707"/>
      <c r="AR188" s="707"/>
      <c r="AS188" s="707"/>
      <c r="AT188" s="707"/>
      <c r="AU188" s="707"/>
      <c r="AV188" s="707"/>
      <c r="AW188" s="707"/>
      <c r="AX188" s="707"/>
      <c r="AY188" s="707"/>
      <c r="AZ188" s="707"/>
      <c r="BA188" s="707"/>
      <c r="BB188" s="707"/>
      <c r="BC188" s="707"/>
      <c r="BD188" s="707"/>
      <c r="BE188" s="707"/>
      <c r="BF188" s="707"/>
      <c r="BG188" s="707"/>
      <c r="BH188" s="707"/>
      <c r="BI188" s="707"/>
      <c r="BJ188" s="707"/>
      <c r="BK188" s="707"/>
      <c r="BL188" s="707"/>
      <c r="BM188" s="707"/>
      <c r="BN188" s="707"/>
      <c r="BO188" s="707"/>
      <c r="BP188" s="707"/>
      <c r="BQ188" s="707"/>
      <c r="BR188" s="707"/>
      <c r="BS188" s="707"/>
      <c r="BT188" s="707"/>
      <c r="BU188" s="707"/>
      <c r="BV188" s="707"/>
      <c r="BW188" s="707"/>
      <c r="BX188" s="707"/>
    </row>
    <row r="189" spans="1:76" ht="15">
      <c r="A189" s="707"/>
      <c r="B189" s="707"/>
      <c r="C189" s="707"/>
      <c r="D189" s="707"/>
      <c r="E189" s="707"/>
      <c r="F189" s="707"/>
      <c r="G189" s="707"/>
      <c r="H189" s="707"/>
      <c r="I189" s="707"/>
      <c r="J189" s="707"/>
      <c r="K189" s="707"/>
      <c r="L189" s="707"/>
      <c r="M189" s="707"/>
      <c r="N189" s="707"/>
      <c r="O189" s="707"/>
      <c r="P189" s="707"/>
      <c r="Q189" s="707"/>
      <c r="R189" s="707"/>
      <c r="S189" s="707"/>
      <c r="T189" s="707"/>
      <c r="U189" s="707"/>
      <c r="V189" s="707"/>
      <c r="W189" s="707"/>
      <c r="X189" s="707"/>
      <c r="Y189" s="707"/>
      <c r="Z189" s="707"/>
      <c r="AA189" s="707"/>
      <c r="AB189" s="707"/>
      <c r="AC189" s="707"/>
      <c r="AD189" s="707"/>
      <c r="AE189" s="707"/>
      <c r="AF189" s="707"/>
      <c r="AG189" s="707"/>
      <c r="AH189" s="707"/>
      <c r="AI189" s="707"/>
      <c r="AJ189" s="707"/>
      <c r="AK189" s="707"/>
      <c r="AL189" s="707"/>
      <c r="AM189" s="707"/>
      <c r="AN189" s="707"/>
      <c r="AO189" s="707"/>
      <c r="AP189" s="707"/>
      <c r="AQ189" s="707"/>
      <c r="AR189" s="707"/>
      <c r="AS189" s="707"/>
      <c r="AT189" s="707"/>
      <c r="AU189" s="707"/>
      <c r="AV189" s="707"/>
      <c r="AW189" s="707"/>
      <c r="AX189" s="707"/>
      <c r="AY189" s="707"/>
      <c r="AZ189" s="707"/>
      <c r="BA189" s="707"/>
      <c r="BB189" s="707"/>
      <c r="BC189" s="707"/>
      <c r="BD189" s="707"/>
      <c r="BE189" s="707"/>
      <c r="BF189" s="707"/>
      <c r="BG189" s="707"/>
      <c r="BH189" s="707"/>
      <c r="BI189" s="707"/>
      <c r="BJ189" s="707"/>
      <c r="BK189" s="707"/>
      <c r="BL189" s="707"/>
      <c r="BM189" s="707"/>
      <c r="BN189" s="707"/>
      <c r="BO189" s="707"/>
      <c r="BP189" s="707"/>
      <c r="BQ189" s="707"/>
      <c r="BR189" s="707"/>
      <c r="BS189" s="707"/>
      <c r="BT189" s="707"/>
      <c r="BU189" s="707"/>
      <c r="BV189" s="707"/>
      <c r="BW189" s="707"/>
      <c r="BX189" s="707"/>
    </row>
    <row r="190" spans="1:76" ht="15">
      <c r="A190" s="707"/>
      <c r="B190" s="707"/>
      <c r="C190" s="707"/>
      <c r="D190" s="707"/>
      <c r="E190" s="707"/>
      <c r="F190" s="707"/>
      <c r="G190" s="707"/>
      <c r="H190" s="707"/>
      <c r="I190" s="707"/>
      <c r="J190" s="707"/>
      <c r="K190" s="707"/>
      <c r="L190" s="707"/>
      <c r="M190" s="707"/>
      <c r="N190" s="707"/>
      <c r="O190" s="707"/>
      <c r="P190" s="707"/>
      <c r="Q190" s="707"/>
      <c r="R190" s="707"/>
      <c r="S190" s="707"/>
      <c r="T190" s="707"/>
      <c r="U190" s="707"/>
      <c r="V190" s="707"/>
      <c r="W190" s="707"/>
      <c r="X190" s="707"/>
      <c r="Y190" s="707"/>
      <c r="Z190" s="707"/>
      <c r="AA190" s="707"/>
      <c r="AB190" s="707"/>
      <c r="AC190" s="707"/>
      <c r="AD190" s="707"/>
      <c r="AE190" s="707"/>
      <c r="AF190" s="707"/>
      <c r="AG190" s="707"/>
      <c r="AH190" s="707"/>
      <c r="AI190" s="707"/>
      <c r="AJ190" s="707"/>
      <c r="AK190" s="707"/>
      <c r="AL190" s="707"/>
      <c r="AM190" s="707"/>
      <c r="AN190" s="707"/>
      <c r="AO190" s="707"/>
      <c r="AP190" s="707"/>
      <c r="AQ190" s="707"/>
      <c r="AR190" s="707"/>
      <c r="AS190" s="707"/>
      <c r="AT190" s="707"/>
      <c r="AU190" s="707"/>
      <c r="AV190" s="707"/>
      <c r="AW190" s="707"/>
      <c r="AX190" s="707"/>
      <c r="AY190" s="707"/>
      <c r="AZ190" s="707"/>
      <c r="BA190" s="707"/>
      <c r="BB190" s="707"/>
      <c r="BC190" s="707"/>
      <c r="BD190" s="707"/>
      <c r="BE190" s="707"/>
      <c r="BF190" s="707"/>
      <c r="BG190" s="707"/>
      <c r="BH190" s="707"/>
      <c r="BI190" s="707"/>
      <c r="BJ190" s="707"/>
      <c r="BK190" s="707"/>
      <c r="BL190" s="707"/>
      <c r="BM190" s="707"/>
      <c r="BN190" s="707"/>
      <c r="BO190" s="707"/>
      <c r="BP190" s="707"/>
      <c r="BQ190" s="707"/>
      <c r="BR190" s="707"/>
      <c r="BS190" s="707"/>
      <c r="BT190" s="707"/>
      <c r="BU190" s="707"/>
      <c r="BV190" s="707"/>
      <c r="BW190" s="707"/>
      <c r="BX190" s="707"/>
    </row>
    <row r="191" spans="1:76" ht="15">
      <c r="A191" s="707"/>
      <c r="B191" s="707"/>
      <c r="C191" s="707"/>
      <c r="D191" s="707"/>
      <c r="E191" s="707"/>
      <c r="F191" s="707"/>
      <c r="G191" s="707"/>
      <c r="H191" s="707"/>
      <c r="I191" s="707"/>
      <c r="J191" s="707"/>
      <c r="K191" s="707"/>
      <c r="L191" s="707"/>
      <c r="M191" s="707"/>
      <c r="N191" s="707"/>
      <c r="O191" s="707"/>
      <c r="P191" s="707"/>
      <c r="Q191" s="707"/>
      <c r="R191" s="707"/>
      <c r="S191" s="707"/>
      <c r="T191" s="707"/>
      <c r="U191" s="707"/>
      <c r="V191" s="707"/>
      <c r="W191" s="707"/>
      <c r="X191" s="707"/>
      <c r="Y191" s="707"/>
      <c r="Z191" s="707"/>
      <c r="AA191" s="707"/>
      <c r="AB191" s="707"/>
      <c r="AC191" s="707"/>
      <c r="AD191" s="707"/>
      <c r="AE191" s="707"/>
      <c r="AF191" s="707"/>
      <c r="AG191" s="707"/>
      <c r="AH191" s="707"/>
      <c r="AI191" s="707"/>
      <c r="AJ191" s="707"/>
      <c r="AK191" s="707"/>
      <c r="AL191" s="707"/>
      <c r="AM191" s="707"/>
      <c r="AN191" s="707"/>
      <c r="AO191" s="707"/>
      <c r="AP191" s="707"/>
      <c r="AQ191" s="707"/>
      <c r="AR191" s="707"/>
      <c r="AS191" s="707"/>
      <c r="AT191" s="707"/>
      <c r="AU191" s="707"/>
      <c r="AV191" s="707"/>
      <c r="AW191" s="707"/>
      <c r="AX191" s="707"/>
      <c r="AY191" s="707"/>
      <c r="AZ191" s="707"/>
      <c r="BA191" s="707"/>
      <c r="BB191" s="707"/>
      <c r="BC191" s="707"/>
      <c r="BD191" s="707"/>
      <c r="BE191" s="707"/>
      <c r="BF191" s="707"/>
      <c r="BG191" s="707"/>
      <c r="BH191" s="707"/>
      <c r="BI191" s="707"/>
      <c r="BJ191" s="707"/>
      <c r="BK191" s="707"/>
      <c r="BL191" s="707"/>
      <c r="BM191" s="707"/>
      <c r="BN191" s="707"/>
      <c r="BO191" s="707"/>
      <c r="BP191" s="707"/>
      <c r="BQ191" s="707"/>
      <c r="BR191" s="707"/>
      <c r="BS191" s="707"/>
      <c r="BT191" s="707"/>
      <c r="BU191" s="707"/>
      <c r="BV191" s="707"/>
      <c r="BW191" s="707"/>
      <c r="BX191" s="707"/>
    </row>
    <row r="192" spans="1:76" ht="15">
      <c r="A192" s="707"/>
      <c r="B192" s="707"/>
      <c r="C192" s="707"/>
      <c r="D192" s="707"/>
      <c r="E192" s="707"/>
      <c r="F192" s="707"/>
      <c r="G192" s="707"/>
      <c r="H192" s="707"/>
      <c r="I192" s="707"/>
      <c r="J192" s="707"/>
      <c r="K192" s="707"/>
      <c r="L192" s="707"/>
      <c r="M192" s="707"/>
      <c r="N192" s="707"/>
      <c r="O192" s="707"/>
      <c r="P192" s="707"/>
      <c r="Q192" s="707"/>
      <c r="R192" s="707"/>
      <c r="S192" s="707"/>
      <c r="T192" s="707"/>
      <c r="U192" s="707"/>
      <c r="V192" s="707"/>
      <c r="W192" s="707"/>
      <c r="X192" s="707"/>
      <c r="Y192" s="707"/>
      <c r="Z192" s="707"/>
      <c r="AA192" s="707"/>
      <c r="AB192" s="707"/>
      <c r="AC192" s="707"/>
      <c r="AD192" s="707"/>
      <c r="AE192" s="707"/>
      <c r="AF192" s="707"/>
      <c r="AG192" s="707"/>
      <c r="AH192" s="707"/>
      <c r="AI192" s="707"/>
      <c r="AJ192" s="707"/>
      <c r="AK192" s="707"/>
      <c r="AL192" s="707"/>
      <c r="AM192" s="707"/>
      <c r="AN192" s="707"/>
      <c r="AO192" s="707"/>
      <c r="AP192" s="707"/>
      <c r="AQ192" s="707"/>
      <c r="AR192" s="707"/>
      <c r="AS192" s="707"/>
      <c r="AT192" s="707"/>
      <c r="AU192" s="707"/>
      <c r="AV192" s="707"/>
      <c r="AW192" s="707"/>
      <c r="AX192" s="707"/>
      <c r="AY192" s="707"/>
      <c r="AZ192" s="707"/>
      <c r="BA192" s="707"/>
      <c r="BB192" s="707"/>
      <c r="BC192" s="707"/>
      <c r="BD192" s="707"/>
      <c r="BE192" s="707"/>
      <c r="BF192" s="707"/>
      <c r="BG192" s="707"/>
      <c r="BH192" s="707"/>
      <c r="BI192" s="707"/>
      <c r="BJ192" s="707"/>
      <c r="BK192" s="707"/>
      <c r="BL192" s="707"/>
      <c r="BM192" s="707"/>
      <c r="BN192" s="707"/>
      <c r="BO192" s="707"/>
      <c r="BP192" s="707"/>
      <c r="BQ192" s="707"/>
      <c r="BR192" s="707"/>
      <c r="BS192" s="707"/>
      <c r="BT192" s="707"/>
      <c r="BU192" s="707"/>
      <c r="BV192" s="707"/>
      <c r="BW192" s="707"/>
      <c r="BX192" s="707"/>
    </row>
    <row r="193" spans="1:76" ht="15">
      <c r="A193" s="707"/>
      <c r="B193" s="707"/>
      <c r="C193" s="707"/>
      <c r="D193" s="707"/>
      <c r="E193" s="707"/>
      <c r="F193" s="707"/>
      <c r="G193" s="707"/>
      <c r="H193" s="707"/>
      <c r="I193" s="707"/>
      <c r="J193" s="707"/>
      <c r="K193" s="707"/>
      <c r="L193" s="707"/>
      <c r="M193" s="707"/>
      <c r="N193" s="707"/>
      <c r="O193" s="707"/>
      <c r="P193" s="707"/>
      <c r="Q193" s="707"/>
      <c r="R193" s="707"/>
      <c r="S193" s="707"/>
      <c r="T193" s="707"/>
      <c r="U193" s="707"/>
      <c r="V193" s="707"/>
      <c r="W193" s="707"/>
      <c r="X193" s="707"/>
      <c r="Y193" s="707"/>
      <c r="Z193" s="707"/>
      <c r="AA193" s="707"/>
      <c r="AB193" s="707"/>
      <c r="AC193" s="707"/>
      <c r="AD193" s="707"/>
      <c r="AE193" s="707"/>
      <c r="AF193" s="707"/>
      <c r="AG193" s="707"/>
      <c r="AH193" s="707"/>
      <c r="AI193" s="707"/>
      <c r="AJ193" s="707"/>
      <c r="AK193" s="707"/>
      <c r="AL193" s="707"/>
      <c r="AM193" s="707"/>
      <c r="AN193" s="707"/>
      <c r="AO193" s="707"/>
      <c r="AP193" s="707"/>
      <c r="AQ193" s="707"/>
      <c r="AR193" s="707"/>
      <c r="AS193" s="707"/>
      <c r="AT193" s="707"/>
      <c r="AU193" s="707"/>
      <c r="AV193" s="707"/>
      <c r="AW193" s="707"/>
      <c r="AX193" s="707"/>
      <c r="AY193" s="707"/>
      <c r="AZ193" s="707"/>
      <c r="BA193" s="707"/>
      <c r="BB193" s="707"/>
      <c r="BC193" s="707"/>
      <c r="BD193" s="707"/>
      <c r="BE193" s="707"/>
      <c r="BF193" s="707"/>
      <c r="BG193" s="707"/>
      <c r="BH193" s="707"/>
      <c r="BI193" s="707"/>
      <c r="BJ193" s="707"/>
      <c r="BK193" s="707"/>
      <c r="BL193" s="707"/>
      <c r="BM193" s="707"/>
      <c r="BN193" s="707"/>
      <c r="BO193" s="707"/>
      <c r="BP193" s="707"/>
      <c r="BQ193" s="707"/>
      <c r="BR193" s="707"/>
      <c r="BS193" s="707"/>
      <c r="BT193" s="707"/>
      <c r="BU193" s="707"/>
      <c r="BV193" s="707"/>
      <c r="BW193" s="707"/>
      <c r="BX193" s="707"/>
    </row>
    <row r="194" spans="1:76" ht="15">
      <c r="A194" s="707"/>
      <c r="B194" s="707"/>
      <c r="C194" s="707"/>
      <c r="D194" s="707"/>
      <c r="E194" s="707"/>
      <c r="F194" s="707"/>
      <c r="G194" s="707"/>
      <c r="H194" s="707"/>
      <c r="I194" s="707"/>
      <c r="J194" s="707"/>
      <c r="K194" s="707"/>
      <c r="L194" s="707"/>
      <c r="M194" s="707"/>
      <c r="N194" s="707"/>
      <c r="O194" s="707"/>
      <c r="P194" s="707"/>
      <c r="Q194" s="707"/>
      <c r="R194" s="707"/>
      <c r="S194" s="707"/>
      <c r="T194" s="707"/>
      <c r="U194" s="707"/>
      <c r="V194" s="707"/>
      <c r="W194" s="707"/>
      <c r="X194" s="707"/>
      <c r="Y194" s="707"/>
      <c r="Z194" s="707"/>
      <c r="AA194" s="707"/>
      <c r="AB194" s="707"/>
      <c r="AC194" s="707"/>
      <c r="AD194" s="707"/>
      <c r="AE194" s="707"/>
      <c r="AF194" s="707"/>
      <c r="AG194" s="707"/>
      <c r="AH194" s="707"/>
      <c r="AI194" s="707"/>
      <c r="AJ194" s="707"/>
      <c r="AK194" s="707"/>
      <c r="AL194" s="707"/>
      <c r="AM194" s="707"/>
      <c r="AN194" s="707"/>
      <c r="AO194" s="707"/>
      <c r="AP194" s="707"/>
      <c r="AQ194" s="707"/>
      <c r="AR194" s="707"/>
      <c r="AS194" s="707"/>
      <c r="AT194" s="707"/>
      <c r="AU194" s="707"/>
      <c r="AV194" s="707"/>
      <c r="AW194" s="707"/>
      <c r="AX194" s="707"/>
      <c r="AY194" s="707"/>
      <c r="AZ194" s="707"/>
      <c r="BA194" s="707"/>
      <c r="BB194" s="707"/>
      <c r="BC194" s="707"/>
      <c r="BD194" s="707"/>
      <c r="BE194" s="707"/>
      <c r="BF194" s="707"/>
      <c r="BG194" s="707"/>
      <c r="BH194" s="707"/>
      <c r="BI194" s="707"/>
      <c r="BJ194" s="707"/>
      <c r="BK194" s="707"/>
      <c r="BL194" s="707"/>
      <c r="BM194" s="707"/>
      <c r="BN194" s="707"/>
      <c r="BO194" s="707"/>
      <c r="BP194" s="707"/>
      <c r="BQ194" s="707"/>
      <c r="BR194" s="707"/>
      <c r="BS194" s="707"/>
      <c r="BT194" s="707"/>
      <c r="BU194" s="707"/>
      <c r="BV194" s="707"/>
      <c r="BW194" s="707"/>
      <c r="BX194" s="707"/>
    </row>
    <row r="195" spans="1:76" ht="15">
      <c r="A195" s="707"/>
      <c r="B195" s="707"/>
      <c r="C195" s="707"/>
      <c r="D195" s="707"/>
      <c r="E195" s="707"/>
      <c r="F195" s="707"/>
      <c r="G195" s="707"/>
      <c r="H195" s="707"/>
      <c r="I195" s="707"/>
      <c r="J195" s="707"/>
      <c r="K195" s="707"/>
      <c r="L195" s="707"/>
      <c r="M195" s="707"/>
      <c r="N195" s="707"/>
      <c r="O195" s="707"/>
      <c r="P195" s="707"/>
      <c r="Q195" s="707"/>
      <c r="R195" s="707"/>
      <c r="S195" s="707"/>
      <c r="T195" s="707"/>
      <c r="U195" s="707"/>
      <c r="V195" s="707"/>
      <c r="W195" s="707"/>
      <c r="X195" s="707"/>
      <c r="Y195" s="707"/>
      <c r="Z195" s="707"/>
      <c r="AA195" s="707"/>
      <c r="AB195" s="707"/>
      <c r="AC195" s="707"/>
      <c r="AD195" s="707"/>
      <c r="AE195" s="707"/>
      <c r="AF195" s="707"/>
      <c r="AG195" s="707"/>
      <c r="AH195" s="707"/>
      <c r="AI195" s="707"/>
      <c r="AJ195" s="707"/>
      <c r="AK195" s="707"/>
      <c r="AL195" s="707"/>
      <c r="AM195" s="707"/>
      <c r="AN195" s="707"/>
      <c r="AO195" s="707"/>
      <c r="AP195" s="707"/>
      <c r="AQ195" s="707"/>
      <c r="AR195" s="707"/>
      <c r="AS195" s="707"/>
      <c r="AT195" s="707"/>
      <c r="AU195" s="707"/>
      <c r="AV195" s="707"/>
      <c r="AW195" s="707"/>
      <c r="AX195" s="707"/>
      <c r="AY195" s="707"/>
      <c r="AZ195" s="707"/>
      <c r="BA195" s="707"/>
      <c r="BB195" s="707"/>
      <c r="BC195" s="707"/>
      <c r="BD195" s="707"/>
      <c r="BE195" s="707"/>
      <c r="BF195" s="707"/>
      <c r="BG195" s="707"/>
      <c r="BH195" s="707"/>
      <c r="BI195" s="707"/>
      <c r="BJ195" s="707"/>
      <c r="BK195" s="707"/>
      <c r="BL195" s="707"/>
      <c r="BM195" s="707"/>
      <c r="BN195" s="707"/>
      <c r="BO195" s="707"/>
      <c r="BP195" s="707"/>
      <c r="BQ195" s="707"/>
      <c r="BR195" s="707"/>
      <c r="BS195" s="707"/>
      <c r="BT195" s="707"/>
      <c r="BU195" s="707"/>
      <c r="BV195" s="707"/>
      <c r="BW195" s="707"/>
      <c r="BX195" s="707"/>
    </row>
    <row r="196" spans="1:76" ht="15">
      <c r="A196" s="707"/>
      <c r="B196" s="707"/>
      <c r="C196" s="707"/>
      <c r="D196" s="707"/>
      <c r="E196" s="707"/>
      <c r="F196" s="707"/>
      <c r="G196" s="707"/>
      <c r="H196" s="707"/>
      <c r="I196" s="707"/>
      <c r="J196" s="707"/>
      <c r="K196" s="707"/>
      <c r="L196" s="707"/>
      <c r="M196" s="707"/>
      <c r="N196" s="707"/>
      <c r="O196" s="707"/>
      <c r="P196" s="707"/>
      <c r="Q196" s="707"/>
      <c r="R196" s="707"/>
      <c r="S196" s="707"/>
      <c r="T196" s="707"/>
      <c r="U196" s="707"/>
      <c r="V196" s="707"/>
      <c r="W196" s="707"/>
      <c r="X196" s="707"/>
      <c r="Y196" s="707"/>
      <c r="Z196" s="707"/>
      <c r="AA196" s="707"/>
      <c r="AB196" s="707"/>
      <c r="AC196" s="707"/>
      <c r="AD196" s="707"/>
      <c r="AE196" s="707"/>
      <c r="AF196" s="707"/>
      <c r="AG196" s="707"/>
      <c r="AH196" s="707"/>
      <c r="AI196" s="707"/>
      <c r="AJ196" s="707"/>
      <c r="AK196" s="707"/>
      <c r="AL196" s="707"/>
      <c r="AM196" s="707"/>
      <c r="AN196" s="707"/>
      <c r="AO196" s="707"/>
      <c r="AP196" s="707"/>
      <c r="AQ196" s="707"/>
      <c r="AR196" s="707"/>
      <c r="AS196" s="707"/>
      <c r="AT196" s="707"/>
      <c r="AU196" s="707"/>
      <c r="AV196" s="707"/>
      <c r="AW196" s="707"/>
      <c r="AX196" s="707"/>
      <c r="AY196" s="707"/>
      <c r="AZ196" s="707"/>
      <c r="BA196" s="707"/>
      <c r="BB196" s="707"/>
      <c r="BC196" s="707"/>
      <c r="BD196" s="707"/>
      <c r="BE196" s="707"/>
      <c r="BF196" s="707"/>
      <c r="BG196" s="707"/>
      <c r="BH196" s="707"/>
      <c r="BI196" s="707"/>
      <c r="BJ196" s="707"/>
      <c r="BK196" s="707"/>
      <c r="BL196" s="707"/>
      <c r="BM196" s="707"/>
      <c r="BN196" s="707"/>
      <c r="BO196" s="707"/>
      <c r="BP196" s="707"/>
      <c r="BQ196" s="707"/>
      <c r="BR196" s="707"/>
      <c r="BS196" s="707"/>
      <c r="BT196" s="707"/>
      <c r="BU196" s="707"/>
      <c r="BV196" s="707"/>
      <c r="BW196" s="707"/>
      <c r="BX196" s="707"/>
    </row>
    <row r="197" spans="1:76" ht="15">
      <c r="A197" s="707"/>
      <c r="B197" s="707"/>
      <c r="C197" s="707"/>
      <c r="D197" s="707"/>
      <c r="E197" s="707"/>
      <c r="F197" s="707"/>
      <c r="G197" s="707"/>
      <c r="H197" s="707"/>
      <c r="I197" s="707"/>
      <c r="J197" s="707"/>
      <c r="K197" s="707"/>
      <c r="L197" s="707"/>
      <c r="M197" s="707"/>
      <c r="N197" s="707"/>
      <c r="O197" s="707"/>
      <c r="P197" s="707"/>
      <c r="Q197" s="707"/>
      <c r="R197" s="707"/>
      <c r="S197" s="707"/>
      <c r="T197" s="707"/>
      <c r="U197" s="707"/>
      <c r="V197" s="707"/>
      <c r="W197" s="707"/>
      <c r="X197" s="707"/>
      <c r="Y197" s="707"/>
      <c r="Z197" s="707"/>
      <c r="AA197" s="707"/>
      <c r="AB197" s="707"/>
      <c r="AC197" s="707"/>
      <c r="AD197" s="707"/>
      <c r="AE197" s="707"/>
      <c r="AF197" s="707"/>
      <c r="AG197" s="707"/>
      <c r="AH197" s="707"/>
      <c r="AI197" s="707"/>
      <c r="AJ197" s="707"/>
      <c r="AK197" s="707"/>
      <c r="AL197" s="707"/>
      <c r="AM197" s="707"/>
      <c r="AN197" s="707"/>
      <c r="AO197" s="707"/>
      <c r="AP197" s="707"/>
      <c r="AQ197" s="707"/>
      <c r="AR197" s="707"/>
      <c r="AS197" s="707"/>
      <c r="AT197" s="707"/>
      <c r="AU197" s="707"/>
      <c r="AV197" s="707"/>
      <c r="AW197" s="707"/>
      <c r="AX197" s="707"/>
      <c r="AY197" s="707"/>
      <c r="AZ197" s="707"/>
      <c r="BA197" s="707"/>
      <c r="BB197" s="707"/>
      <c r="BC197" s="707"/>
      <c r="BD197" s="707"/>
      <c r="BE197" s="707"/>
      <c r="BF197" s="707"/>
      <c r="BG197" s="707"/>
      <c r="BH197" s="707"/>
      <c r="BI197" s="707"/>
      <c r="BJ197" s="707"/>
      <c r="BK197" s="707"/>
      <c r="BL197" s="707"/>
      <c r="BM197" s="707"/>
      <c r="BN197" s="707"/>
      <c r="BO197" s="707"/>
      <c r="BP197" s="707"/>
      <c r="BQ197" s="707"/>
      <c r="BR197" s="707"/>
      <c r="BS197" s="707"/>
      <c r="BT197" s="707"/>
      <c r="BU197" s="707"/>
      <c r="BV197" s="707"/>
      <c r="BW197" s="707"/>
      <c r="BX197" s="707"/>
    </row>
    <row r="198" spans="1:76" ht="15">
      <c r="A198" s="707"/>
      <c r="B198" s="707"/>
      <c r="C198" s="707"/>
      <c r="D198" s="707"/>
      <c r="E198" s="707"/>
      <c r="F198" s="707"/>
      <c r="G198" s="707"/>
      <c r="H198" s="707"/>
      <c r="I198" s="707"/>
      <c r="J198" s="707"/>
      <c r="K198" s="707"/>
      <c r="L198" s="707"/>
      <c r="M198" s="707"/>
      <c r="N198" s="707"/>
      <c r="O198" s="707"/>
      <c r="P198" s="707"/>
      <c r="Q198" s="707"/>
      <c r="R198" s="707"/>
      <c r="S198" s="707"/>
      <c r="T198" s="707"/>
      <c r="U198" s="707"/>
      <c r="V198" s="707"/>
      <c r="W198" s="707"/>
      <c r="X198" s="707"/>
      <c r="Y198" s="707"/>
      <c r="Z198" s="707"/>
      <c r="AA198" s="707"/>
      <c r="AB198" s="707"/>
      <c r="AC198" s="707"/>
      <c r="AD198" s="707"/>
      <c r="AE198" s="707"/>
      <c r="AF198" s="707"/>
      <c r="AG198" s="707"/>
      <c r="AH198" s="707"/>
      <c r="AI198" s="707"/>
      <c r="AJ198" s="707"/>
      <c r="AK198" s="707"/>
      <c r="AL198" s="707"/>
      <c r="AM198" s="707"/>
      <c r="AN198" s="707"/>
      <c r="AO198" s="707"/>
      <c r="AP198" s="707"/>
      <c r="AQ198" s="707"/>
      <c r="AR198" s="707"/>
      <c r="AS198" s="707"/>
      <c r="AT198" s="707"/>
      <c r="AU198" s="707"/>
      <c r="AV198" s="707"/>
      <c r="AW198" s="707"/>
      <c r="AX198" s="707"/>
      <c r="AY198" s="707"/>
      <c r="AZ198" s="707"/>
      <c r="BA198" s="707"/>
      <c r="BB198" s="707"/>
      <c r="BC198" s="707"/>
      <c r="BD198" s="707"/>
      <c r="BE198" s="707"/>
      <c r="BF198" s="707"/>
      <c r="BG198" s="707"/>
      <c r="BH198" s="707"/>
      <c r="BI198" s="707"/>
      <c r="BJ198" s="707"/>
      <c r="BK198" s="707"/>
      <c r="BL198" s="707"/>
      <c r="BM198" s="707"/>
      <c r="BN198" s="707"/>
      <c r="BO198" s="707"/>
      <c r="BP198" s="707"/>
      <c r="BQ198" s="707"/>
      <c r="BR198" s="707"/>
      <c r="BS198" s="707"/>
      <c r="BT198" s="707"/>
      <c r="BU198" s="707"/>
      <c r="BV198" s="707"/>
      <c r="BW198" s="707"/>
      <c r="BX198" s="707"/>
    </row>
    <row r="199" spans="1:76" ht="15">
      <c r="A199" s="707"/>
      <c r="B199" s="707"/>
      <c r="C199" s="707"/>
      <c r="D199" s="707"/>
      <c r="E199" s="707"/>
      <c r="F199" s="707"/>
      <c r="G199" s="707"/>
      <c r="H199" s="707"/>
      <c r="I199" s="707"/>
      <c r="J199" s="707"/>
      <c r="K199" s="707"/>
      <c r="L199" s="707"/>
      <c r="M199" s="707"/>
      <c r="N199" s="707"/>
      <c r="O199" s="707"/>
      <c r="P199" s="707"/>
      <c r="Q199" s="707"/>
      <c r="R199" s="707"/>
      <c r="S199" s="707"/>
      <c r="T199" s="707"/>
      <c r="U199" s="707"/>
      <c r="V199" s="707"/>
      <c r="W199" s="707"/>
      <c r="X199" s="707"/>
      <c r="Y199" s="707"/>
      <c r="Z199" s="707"/>
      <c r="AA199" s="707"/>
      <c r="AB199" s="707"/>
      <c r="AC199" s="707"/>
      <c r="AD199" s="707"/>
      <c r="AE199" s="707"/>
      <c r="AF199" s="707"/>
      <c r="AG199" s="707"/>
      <c r="AH199" s="707"/>
      <c r="AI199" s="707"/>
      <c r="AJ199" s="707"/>
      <c r="AK199" s="707"/>
      <c r="AL199" s="707"/>
      <c r="AM199" s="707"/>
      <c r="AN199" s="707"/>
      <c r="AO199" s="707"/>
      <c r="AP199" s="707"/>
      <c r="AQ199" s="707"/>
      <c r="AR199" s="707"/>
      <c r="AS199" s="707"/>
      <c r="AT199" s="707"/>
      <c r="AU199" s="707"/>
      <c r="AV199" s="707"/>
      <c r="AW199" s="707"/>
      <c r="AX199" s="707"/>
      <c r="AY199" s="707"/>
      <c r="AZ199" s="707"/>
      <c r="BA199" s="707"/>
      <c r="BB199" s="707"/>
      <c r="BC199" s="707"/>
      <c r="BD199" s="707"/>
      <c r="BE199" s="707"/>
      <c r="BF199" s="707"/>
      <c r="BG199" s="707"/>
      <c r="BH199" s="707"/>
      <c r="BI199" s="707"/>
      <c r="BJ199" s="707"/>
      <c r="BK199" s="707"/>
      <c r="BL199" s="707"/>
      <c r="BM199" s="707"/>
      <c r="BN199" s="707"/>
      <c r="BO199" s="707"/>
      <c r="BP199" s="707"/>
      <c r="BQ199" s="707"/>
      <c r="BR199" s="707"/>
      <c r="BS199" s="707"/>
      <c r="BT199" s="707"/>
      <c r="BU199" s="707"/>
      <c r="BV199" s="707"/>
      <c r="BW199" s="707"/>
      <c r="BX199" s="707"/>
    </row>
    <row r="200" spans="1:76" ht="15">
      <c r="A200" s="707"/>
      <c r="B200" s="707"/>
      <c r="C200" s="707"/>
      <c r="D200" s="707"/>
      <c r="E200" s="707"/>
      <c r="F200" s="707"/>
      <c r="G200" s="707"/>
      <c r="H200" s="707"/>
      <c r="I200" s="707"/>
      <c r="J200" s="707"/>
      <c r="K200" s="707"/>
      <c r="L200" s="707"/>
      <c r="M200" s="707"/>
      <c r="N200" s="707"/>
      <c r="O200" s="707"/>
      <c r="P200" s="707"/>
      <c r="Q200" s="707"/>
      <c r="R200" s="707"/>
      <c r="S200" s="707"/>
      <c r="T200" s="707"/>
      <c r="U200" s="707"/>
      <c r="V200" s="707"/>
      <c r="W200" s="707"/>
      <c r="X200" s="707"/>
      <c r="Y200" s="707"/>
      <c r="Z200" s="707"/>
      <c r="AA200" s="707"/>
      <c r="AB200" s="707"/>
      <c r="AC200" s="707"/>
      <c r="AD200" s="707"/>
      <c r="AE200" s="707"/>
      <c r="AF200" s="707"/>
      <c r="AG200" s="707"/>
      <c r="AH200" s="707"/>
      <c r="AI200" s="707"/>
      <c r="AJ200" s="707"/>
      <c r="AK200" s="707"/>
      <c r="AL200" s="707"/>
      <c r="AM200" s="707"/>
      <c r="AN200" s="707"/>
      <c r="AO200" s="707"/>
      <c r="AP200" s="707"/>
      <c r="AQ200" s="707"/>
      <c r="AR200" s="707"/>
      <c r="AS200" s="707"/>
      <c r="AT200" s="707"/>
      <c r="AU200" s="707"/>
      <c r="AV200" s="707"/>
      <c r="AW200" s="707"/>
      <c r="AX200" s="707"/>
      <c r="AY200" s="707"/>
      <c r="AZ200" s="707"/>
      <c r="BA200" s="707"/>
      <c r="BB200" s="707"/>
      <c r="BC200" s="707"/>
      <c r="BD200" s="707"/>
      <c r="BE200" s="707"/>
      <c r="BF200" s="707"/>
      <c r="BG200" s="707"/>
      <c r="BH200" s="707"/>
      <c r="BI200" s="707"/>
      <c r="BJ200" s="707"/>
      <c r="BK200" s="707"/>
      <c r="BL200" s="707"/>
      <c r="BM200" s="707"/>
      <c r="BN200" s="707"/>
      <c r="BO200" s="707"/>
      <c r="BP200" s="707"/>
      <c r="BQ200" s="707"/>
      <c r="BR200" s="707"/>
      <c r="BS200" s="707"/>
      <c r="BT200" s="707"/>
      <c r="BU200" s="707"/>
      <c r="BV200" s="707"/>
      <c r="BW200" s="707"/>
      <c r="BX200" s="707"/>
    </row>
    <row r="201" spans="1:76" ht="15">
      <c r="A201" s="707"/>
      <c r="B201" s="707"/>
      <c r="C201" s="707"/>
      <c r="D201" s="707"/>
      <c r="E201" s="707"/>
      <c r="F201" s="707"/>
      <c r="G201" s="707"/>
      <c r="H201" s="707"/>
      <c r="I201" s="707"/>
      <c r="J201" s="707"/>
      <c r="K201" s="707"/>
      <c r="L201" s="707"/>
      <c r="M201" s="707"/>
      <c r="N201" s="707"/>
      <c r="O201" s="707"/>
      <c r="P201" s="707"/>
      <c r="Q201" s="707"/>
      <c r="R201" s="707"/>
      <c r="S201" s="707"/>
      <c r="T201" s="707"/>
      <c r="U201" s="707"/>
      <c r="V201" s="707"/>
      <c r="W201" s="707"/>
      <c r="X201" s="707"/>
      <c r="Y201" s="707"/>
      <c r="Z201" s="707"/>
      <c r="AA201" s="707"/>
      <c r="AB201" s="707"/>
      <c r="AC201" s="707"/>
      <c r="AD201" s="707"/>
      <c r="AE201" s="707"/>
      <c r="AF201" s="707"/>
      <c r="AG201" s="707"/>
      <c r="AH201" s="707"/>
      <c r="AI201" s="707"/>
      <c r="AJ201" s="707"/>
      <c r="AK201" s="707"/>
      <c r="AL201" s="707"/>
      <c r="AM201" s="707"/>
      <c r="AN201" s="707"/>
      <c r="AO201" s="707"/>
      <c r="AP201" s="707"/>
      <c r="AQ201" s="707"/>
      <c r="AR201" s="707"/>
      <c r="AS201" s="707"/>
      <c r="AT201" s="707"/>
      <c r="AU201" s="707"/>
      <c r="AV201" s="707"/>
      <c r="AW201" s="707"/>
      <c r="AX201" s="707"/>
      <c r="AY201" s="707"/>
      <c r="AZ201" s="707"/>
      <c r="BA201" s="707"/>
      <c r="BB201" s="707"/>
      <c r="BC201" s="707"/>
      <c r="BD201" s="707"/>
      <c r="BE201" s="707"/>
      <c r="BF201" s="707"/>
      <c r="BG201" s="707"/>
      <c r="BH201" s="707"/>
      <c r="BI201" s="707"/>
      <c r="BJ201" s="707"/>
      <c r="BK201" s="707"/>
      <c r="BL201" s="707"/>
      <c r="BM201" s="707"/>
      <c r="BN201" s="707"/>
      <c r="BO201" s="707"/>
      <c r="BP201" s="707"/>
      <c r="BQ201" s="707"/>
      <c r="BR201" s="707"/>
      <c r="BS201" s="707"/>
      <c r="BT201" s="707"/>
      <c r="BU201" s="707"/>
      <c r="BV201" s="707"/>
      <c r="BW201" s="707"/>
      <c r="BX201" s="707"/>
    </row>
    <row r="202" spans="1:76" ht="15">
      <c r="A202" s="707"/>
      <c r="B202" s="707"/>
      <c r="C202" s="707"/>
      <c r="D202" s="707"/>
      <c r="E202" s="707"/>
      <c r="F202" s="707"/>
      <c r="G202" s="707"/>
      <c r="H202" s="707"/>
      <c r="I202" s="707"/>
      <c r="J202" s="707"/>
      <c r="K202" s="707"/>
      <c r="L202" s="707"/>
      <c r="M202" s="707"/>
      <c r="N202" s="707"/>
      <c r="O202" s="707"/>
      <c r="P202" s="707"/>
      <c r="Q202" s="707"/>
      <c r="R202" s="707"/>
      <c r="S202" s="707"/>
      <c r="T202" s="707"/>
      <c r="U202" s="707"/>
      <c r="V202" s="707"/>
      <c r="W202" s="707"/>
      <c r="X202" s="707"/>
      <c r="Y202" s="707"/>
      <c r="Z202" s="707"/>
      <c r="AA202" s="707"/>
      <c r="AB202" s="707"/>
      <c r="AC202" s="707"/>
      <c r="AD202" s="707"/>
      <c r="AE202" s="707"/>
      <c r="AF202" s="707"/>
      <c r="AG202" s="707"/>
      <c r="AH202" s="707"/>
      <c r="AI202" s="707"/>
      <c r="AJ202" s="707"/>
      <c r="AK202" s="707"/>
      <c r="AL202" s="707"/>
      <c r="AM202" s="707"/>
      <c r="AN202" s="707"/>
      <c r="AO202" s="707"/>
      <c r="AP202" s="707"/>
      <c r="AQ202" s="707"/>
      <c r="AR202" s="707"/>
      <c r="AS202" s="707"/>
      <c r="AT202" s="707"/>
      <c r="AU202" s="707"/>
      <c r="AV202" s="707"/>
      <c r="AW202" s="707"/>
      <c r="AX202" s="707"/>
      <c r="AY202" s="707"/>
      <c r="AZ202" s="707"/>
      <c r="BA202" s="707"/>
      <c r="BB202" s="707"/>
      <c r="BC202" s="707"/>
      <c r="BD202" s="707"/>
      <c r="BE202" s="707"/>
      <c r="BF202" s="707"/>
      <c r="BG202" s="707"/>
      <c r="BH202" s="707"/>
      <c r="BI202" s="707"/>
      <c r="BJ202" s="707"/>
      <c r="BK202" s="707"/>
      <c r="BL202" s="707"/>
      <c r="BM202" s="707"/>
      <c r="BN202" s="707"/>
      <c r="BO202" s="707"/>
      <c r="BP202" s="707"/>
      <c r="BQ202" s="707"/>
      <c r="BR202" s="707"/>
      <c r="BS202" s="707"/>
      <c r="BT202" s="707"/>
      <c r="BU202" s="707"/>
      <c r="BV202" s="707"/>
      <c r="BW202" s="707"/>
      <c r="BX202" s="707"/>
    </row>
    <row r="203" spans="1:76" ht="15">
      <c r="A203" s="707"/>
      <c r="B203" s="707"/>
      <c r="C203" s="707"/>
      <c r="D203" s="707"/>
      <c r="E203" s="707"/>
      <c r="F203" s="707"/>
      <c r="G203" s="707"/>
      <c r="H203" s="707"/>
      <c r="I203" s="707"/>
      <c r="J203" s="707"/>
      <c r="K203" s="707"/>
      <c r="L203" s="707"/>
      <c r="M203" s="707"/>
      <c r="N203" s="707"/>
      <c r="O203" s="707"/>
      <c r="P203" s="707"/>
      <c r="Q203" s="707"/>
      <c r="R203" s="707"/>
      <c r="S203" s="707"/>
      <c r="T203" s="707"/>
      <c r="U203" s="707"/>
      <c r="V203" s="707"/>
      <c r="W203" s="707"/>
      <c r="X203" s="707"/>
      <c r="Y203" s="707"/>
      <c r="Z203" s="707"/>
      <c r="AA203" s="707"/>
      <c r="AB203" s="707"/>
      <c r="AC203" s="707"/>
      <c r="AD203" s="707"/>
      <c r="AE203" s="707"/>
      <c r="AF203" s="707"/>
      <c r="AG203" s="707"/>
      <c r="AH203" s="707"/>
      <c r="AI203" s="707"/>
      <c r="AJ203" s="707"/>
      <c r="AK203" s="707"/>
      <c r="AL203" s="707"/>
      <c r="AM203" s="707"/>
      <c r="AN203" s="707"/>
      <c r="AO203" s="707"/>
      <c r="AP203" s="707"/>
      <c r="AQ203" s="707"/>
      <c r="AR203" s="707"/>
      <c r="AS203" s="707"/>
      <c r="AT203" s="707"/>
      <c r="AU203" s="707"/>
      <c r="AV203" s="707"/>
      <c r="AW203" s="707"/>
      <c r="AX203" s="707"/>
      <c r="AY203" s="707"/>
      <c r="AZ203" s="707"/>
      <c r="BA203" s="707"/>
      <c r="BB203" s="707"/>
      <c r="BC203" s="707"/>
      <c r="BD203" s="707"/>
      <c r="BE203" s="707"/>
      <c r="BF203" s="707"/>
      <c r="BG203" s="707"/>
      <c r="BH203" s="707"/>
      <c r="BI203" s="707"/>
      <c r="BJ203" s="707"/>
      <c r="BK203" s="707"/>
      <c r="BL203" s="707"/>
      <c r="BM203" s="707"/>
      <c r="BN203" s="707"/>
      <c r="BO203" s="707"/>
      <c r="BP203" s="707"/>
      <c r="BQ203" s="707"/>
      <c r="BR203" s="707"/>
      <c r="BS203" s="707"/>
      <c r="BT203" s="707"/>
      <c r="BU203" s="707"/>
      <c r="BV203" s="707"/>
      <c r="BW203" s="707"/>
      <c r="BX203" s="707"/>
    </row>
    <row r="204" spans="1:76" ht="15">
      <c r="A204" s="707"/>
      <c r="B204" s="707"/>
      <c r="C204" s="707"/>
      <c r="D204" s="707"/>
      <c r="E204" s="707"/>
      <c r="F204" s="707"/>
      <c r="G204" s="707"/>
      <c r="H204" s="707"/>
      <c r="I204" s="707"/>
      <c r="J204" s="707"/>
      <c r="K204" s="707"/>
      <c r="L204" s="707"/>
      <c r="M204" s="707"/>
      <c r="N204" s="707"/>
      <c r="O204" s="707"/>
      <c r="P204" s="707"/>
      <c r="Q204" s="707"/>
      <c r="R204" s="707"/>
      <c r="S204" s="707"/>
      <c r="T204" s="707"/>
      <c r="U204" s="707"/>
      <c r="V204" s="707"/>
      <c r="W204" s="707"/>
      <c r="X204" s="707"/>
      <c r="Y204" s="707"/>
      <c r="Z204" s="707"/>
      <c r="AA204" s="707"/>
      <c r="AB204" s="707"/>
      <c r="AC204" s="707"/>
      <c r="AD204" s="707"/>
      <c r="AE204" s="707"/>
      <c r="AF204" s="707"/>
      <c r="AG204" s="707"/>
      <c r="AH204" s="707"/>
      <c r="AI204" s="707"/>
      <c r="AJ204" s="707"/>
      <c r="AK204" s="707"/>
      <c r="AL204" s="707"/>
      <c r="AM204" s="707"/>
      <c r="AN204" s="707"/>
      <c r="AO204" s="707"/>
      <c r="AP204" s="707"/>
      <c r="AQ204" s="707"/>
      <c r="AR204" s="707"/>
      <c r="AS204" s="707"/>
      <c r="AT204" s="707"/>
      <c r="AU204" s="707"/>
      <c r="AV204" s="707"/>
      <c r="AW204" s="707"/>
      <c r="AX204" s="707"/>
      <c r="AY204" s="707"/>
      <c r="AZ204" s="707"/>
      <c r="BA204" s="707"/>
      <c r="BB204" s="707"/>
      <c r="BC204" s="707"/>
      <c r="BD204" s="707"/>
      <c r="BE204" s="707"/>
      <c r="BF204" s="707"/>
      <c r="BG204" s="707"/>
      <c r="BH204" s="707"/>
      <c r="BI204" s="707"/>
      <c r="BJ204" s="707"/>
      <c r="BK204" s="707"/>
      <c r="BL204" s="707"/>
      <c r="BM204" s="707"/>
      <c r="BN204" s="707"/>
      <c r="BO204" s="707"/>
      <c r="BP204" s="707"/>
      <c r="BQ204" s="707"/>
      <c r="BR204" s="707"/>
      <c r="BS204" s="707"/>
      <c r="BT204" s="707"/>
      <c r="BU204" s="707"/>
      <c r="BV204" s="707"/>
      <c r="BW204" s="707"/>
      <c r="BX204" s="707"/>
    </row>
    <row r="205" spans="1:76" ht="15">
      <c r="A205" s="707"/>
      <c r="B205" s="707"/>
      <c r="C205" s="707"/>
      <c r="D205" s="707"/>
      <c r="E205" s="707"/>
      <c r="F205" s="707"/>
      <c r="G205" s="707"/>
      <c r="H205" s="707"/>
      <c r="I205" s="707"/>
      <c r="J205" s="707"/>
      <c r="K205" s="707"/>
      <c r="L205" s="707"/>
      <c r="M205" s="707"/>
      <c r="N205" s="707"/>
      <c r="O205" s="707"/>
      <c r="P205" s="707"/>
      <c r="Q205" s="707"/>
      <c r="R205" s="707"/>
      <c r="S205" s="707"/>
      <c r="T205" s="707"/>
      <c r="U205" s="707"/>
      <c r="V205" s="707"/>
      <c r="W205" s="707"/>
      <c r="X205" s="707"/>
      <c r="Y205" s="707"/>
      <c r="Z205" s="707"/>
      <c r="AA205" s="707"/>
      <c r="AB205" s="707"/>
      <c r="AC205" s="707"/>
      <c r="AD205" s="707"/>
      <c r="AE205" s="707"/>
      <c r="AF205" s="707"/>
      <c r="AG205" s="707"/>
      <c r="AH205" s="707"/>
      <c r="AI205" s="707"/>
      <c r="AJ205" s="707"/>
      <c r="AK205" s="707"/>
      <c r="AL205" s="707"/>
      <c r="AM205" s="707"/>
      <c r="AN205" s="707"/>
      <c r="AO205" s="707"/>
      <c r="AP205" s="707"/>
      <c r="AQ205" s="707"/>
      <c r="AR205" s="707"/>
      <c r="AS205" s="707"/>
      <c r="AT205" s="707"/>
      <c r="AU205" s="707"/>
      <c r="AV205" s="707"/>
      <c r="AW205" s="707"/>
      <c r="AX205" s="707"/>
      <c r="AY205" s="707"/>
      <c r="AZ205" s="707"/>
      <c r="BA205" s="707"/>
      <c r="BB205" s="707"/>
      <c r="BC205" s="707"/>
      <c r="BD205" s="707"/>
      <c r="BE205" s="707"/>
      <c r="BF205" s="707"/>
      <c r="BG205" s="707"/>
      <c r="BH205" s="707"/>
      <c r="BI205" s="707"/>
      <c r="BJ205" s="707"/>
      <c r="BK205" s="707"/>
      <c r="BL205" s="707"/>
      <c r="BM205" s="707"/>
      <c r="BN205" s="707"/>
      <c r="BO205" s="707"/>
      <c r="BP205" s="707"/>
      <c r="BQ205" s="707"/>
      <c r="BR205" s="707"/>
      <c r="BS205" s="707"/>
      <c r="BT205" s="707"/>
      <c r="BU205" s="707"/>
      <c r="BV205" s="707"/>
      <c r="BW205" s="707"/>
      <c r="BX205" s="707"/>
    </row>
    <row r="206" spans="1:76" ht="15">
      <c r="A206" s="707"/>
      <c r="B206" s="707"/>
      <c r="C206" s="707"/>
      <c r="D206" s="707"/>
      <c r="E206" s="707"/>
      <c r="F206" s="707"/>
      <c r="G206" s="707"/>
      <c r="H206" s="707"/>
      <c r="I206" s="707"/>
      <c r="J206" s="707"/>
      <c r="K206" s="707"/>
      <c r="L206" s="707"/>
      <c r="M206" s="707"/>
      <c r="N206" s="707"/>
      <c r="O206" s="707"/>
      <c r="P206" s="707"/>
      <c r="Q206" s="707"/>
      <c r="R206" s="707"/>
      <c r="S206" s="707"/>
      <c r="T206" s="707"/>
      <c r="U206" s="707"/>
      <c r="V206" s="707"/>
      <c r="W206" s="707"/>
      <c r="X206" s="707"/>
      <c r="Y206" s="707"/>
      <c r="Z206" s="707"/>
      <c r="AA206" s="707"/>
      <c r="AB206" s="707"/>
      <c r="AC206" s="707"/>
      <c r="AD206" s="707"/>
      <c r="AE206" s="707"/>
      <c r="AF206" s="707"/>
      <c r="AG206" s="707"/>
      <c r="AH206" s="707"/>
      <c r="AI206" s="707"/>
      <c r="AJ206" s="707"/>
      <c r="AK206" s="707"/>
      <c r="AL206" s="707"/>
      <c r="AM206" s="707"/>
      <c r="AN206" s="707"/>
      <c r="AO206" s="707"/>
      <c r="AP206" s="707"/>
      <c r="AQ206" s="707"/>
      <c r="AR206" s="707"/>
      <c r="AS206" s="707"/>
      <c r="AT206" s="707"/>
      <c r="AU206" s="707"/>
      <c r="AV206" s="707"/>
      <c r="AW206" s="707"/>
      <c r="AX206" s="707"/>
      <c r="AY206" s="707"/>
      <c r="AZ206" s="707"/>
      <c r="BA206" s="707"/>
      <c r="BB206" s="707"/>
      <c r="BC206" s="707"/>
      <c r="BD206" s="707"/>
      <c r="BE206" s="707"/>
      <c r="BF206" s="707"/>
      <c r="BG206" s="707"/>
      <c r="BH206" s="707"/>
      <c r="BI206" s="707"/>
      <c r="BJ206" s="707"/>
      <c r="BK206" s="707"/>
      <c r="BL206" s="707"/>
      <c r="BM206" s="707"/>
      <c r="BN206" s="707"/>
      <c r="BO206" s="707"/>
      <c r="BP206" s="707"/>
      <c r="BQ206" s="707"/>
      <c r="BR206" s="707"/>
      <c r="BS206" s="707"/>
      <c r="BT206" s="707"/>
      <c r="BU206" s="707"/>
      <c r="BV206" s="707"/>
      <c r="BW206" s="707"/>
      <c r="BX206" s="707"/>
    </row>
    <row r="207" spans="1:76" ht="15">
      <c r="A207" s="707"/>
      <c r="B207" s="707"/>
      <c r="C207" s="707"/>
      <c r="D207" s="707"/>
      <c r="E207" s="707"/>
      <c r="F207" s="707"/>
      <c r="G207" s="707"/>
      <c r="H207" s="707"/>
      <c r="I207" s="707"/>
      <c r="J207" s="707"/>
      <c r="K207" s="707"/>
      <c r="L207" s="707"/>
      <c r="M207" s="707"/>
      <c r="N207" s="707"/>
      <c r="O207" s="707"/>
      <c r="P207" s="707"/>
      <c r="Q207" s="707"/>
      <c r="R207" s="707"/>
      <c r="S207" s="707"/>
      <c r="T207" s="707"/>
      <c r="U207" s="707"/>
      <c r="V207" s="707"/>
      <c r="W207" s="707"/>
      <c r="X207" s="707"/>
      <c r="Y207" s="707"/>
      <c r="Z207" s="707"/>
      <c r="AA207" s="707"/>
      <c r="AB207" s="707"/>
      <c r="AC207" s="707"/>
      <c r="AD207" s="707"/>
      <c r="AE207" s="707"/>
      <c r="AF207" s="707"/>
      <c r="AG207" s="707"/>
      <c r="AH207" s="707"/>
      <c r="AI207" s="707"/>
      <c r="AJ207" s="707"/>
      <c r="AK207" s="707"/>
      <c r="AL207" s="707"/>
      <c r="AM207" s="707"/>
      <c r="AN207" s="707"/>
      <c r="AO207" s="707"/>
      <c r="AP207" s="707"/>
      <c r="AQ207" s="707"/>
      <c r="AR207" s="707"/>
      <c r="AS207" s="707"/>
      <c r="AT207" s="707"/>
      <c r="AU207" s="707"/>
      <c r="AV207" s="707"/>
      <c r="AW207" s="707"/>
      <c r="AX207" s="707"/>
      <c r="AY207" s="707"/>
      <c r="AZ207" s="707"/>
      <c r="BA207" s="707"/>
      <c r="BB207" s="707"/>
      <c r="BC207" s="707"/>
      <c r="BD207" s="707"/>
      <c r="BE207" s="707"/>
      <c r="BF207" s="707"/>
      <c r="BG207" s="707"/>
      <c r="BH207" s="707"/>
      <c r="BI207" s="707"/>
      <c r="BJ207" s="707"/>
      <c r="BK207" s="707"/>
      <c r="BL207" s="707"/>
      <c r="BM207" s="707"/>
      <c r="BN207" s="707"/>
      <c r="BO207" s="707"/>
      <c r="BP207" s="707"/>
      <c r="BQ207" s="707"/>
      <c r="BR207" s="707"/>
      <c r="BS207" s="707"/>
      <c r="BT207" s="707"/>
      <c r="BU207" s="707"/>
      <c r="BV207" s="707"/>
      <c r="BW207" s="707"/>
      <c r="BX207" s="707"/>
    </row>
    <row r="208" spans="1:76" ht="15">
      <c r="A208" s="707"/>
      <c r="B208" s="707"/>
      <c r="C208" s="707"/>
      <c r="D208" s="707"/>
      <c r="E208" s="707"/>
      <c r="F208" s="707"/>
      <c r="G208" s="707"/>
      <c r="H208" s="707"/>
      <c r="I208" s="707"/>
      <c r="J208" s="707"/>
      <c r="K208" s="707"/>
      <c r="L208" s="707"/>
      <c r="M208" s="707"/>
      <c r="N208" s="707"/>
      <c r="O208" s="707"/>
      <c r="P208" s="707"/>
      <c r="Q208" s="707"/>
      <c r="R208" s="707"/>
      <c r="S208" s="707"/>
      <c r="T208" s="707"/>
      <c r="U208" s="707"/>
      <c r="V208" s="707"/>
      <c r="W208" s="707"/>
      <c r="X208" s="707"/>
      <c r="Y208" s="707"/>
      <c r="Z208" s="707"/>
      <c r="AA208" s="707"/>
      <c r="AB208" s="707"/>
      <c r="AC208" s="707"/>
      <c r="AD208" s="707"/>
      <c r="AE208" s="707"/>
      <c r="AF208" s="707"/>
      <c r="AG208" s="707"/>
      <c r="AH208" s="707"/>
      <c r="AI208" s="707"/>
      <c r="AJ208" s="707"/>
      <c r="AK208" s="707"/>
      <c r="AL208" s="707"/>
      <c r="AM208" s="707"/>
      <c r="AN208" s="707"/>
      <c r="AO208" s="707"/>
      <c r="AP208" s="707"/>
      <c r="AQ208" s="707"/>
      <c r="AR208" s="707"/>
      <c r="AS208" s="707"/>
      <c r="AT208" s="707"/>
      <c r="AU208" s="707"/>
      <c r="AV208" s="707"/>
      <c r="AW208" s="707"/>
      <c r="AX208" s="707"/>
      <c r="AY208" s="707"/>
      <c r="AZ208" s="707"/>
      <c r="BA208" s="707"/>
      <c r="BB208" s="707"/>
      <c r="BC208" s="707"/>
      <c r="BD208" s="707"/>
      <c r="BE208" s="707"/>
      <c r="BF208" s="707"/>
      <c r="BG208" s="707"/>
      <c r="BH208" s="707"/>
      <c r="BI208" s="707"/>
      <c r="BJ208" s="707"/>
      <c r="BK208" s="707"/>
      <c r="BL208" s="707"/>
      <c r="BM208" s="707"/>
      <c r="BN208" s="707"/>
      <c r="BO208" s="707"/>
      <c r="BP208" s="707"/>
      <c r="BQ208" s="707"/>
      <c r="BR208" s="707"/>
      <c r="BS208" s="707"/>
      <c r="BT208" s="707"/>
      <c r="BU208" s="707"/>
      <c r="BV208" s="707"/>
      <c r="BW208" s="707"/>
      <c r="BX208" s="707"/>
    </row>
    <row r="209" spans="1:76" ht="15">
      <c r="A209" s="707"/>
      <c r="B209" s="707"/>
      <c r="C209" s="707"/>
      <c r="D209" s="707"/>
      <c r="E209" s="707"/>
      <c r="F209" s="707"/>
      <c r="G209" s="707"/>
      <c r="H209" s="707"/>
      <c r="I209" s="707"/>
      <c r="J209" s="707"/>
      <c r="K209" s="707"/>
      <c r="L209" s="707"/>
      <c r="M209" s="707"/>
      <c r="N209" s="707"/>
      <c r="O209" s="707"/>
      <c r="P209" s="707"/>
      <c r="Q209" s="707"/>
      <c r="R209" s="707"/>
      <c r="S209" s="707"/>
      <c r="T209" s="707"/>
      <c r="U209" s="707"/>
      <c r="V209" s="707"/>
      <c r="W209" s="707"/>
      <c r="X209" s="707"/>
      <c r="Y209" s="707"/>
      <c r="Z209" s="707"/>
      <c r="AA209" s="707"/>
      <c r="AB209" s="707"/>
      <c r="AC209" s="707"/>
      <c r="AD209" s="707"/>
      <c r="AE209" s="707"/>
      <c r="AF209" s="707"/>
      <c r="AG209" s="707"/>
      <c r="AH209" s="707"/>
      <c r="AI209" s="707"/>
      <c r="AJ209" s="707"/>
      <c r="AK209" s="707"/>
      <c r="AL209" s="707"/>
      <c r="AM209" s="707"/>
      <c r="AN209" s="707"/>
      <c r="AO209" s="707"/>
      <c r="AP209" s="707"/>
      <c r="AQ209" s="707"/>
      <c r="AR209" s="707"/>
      <c r="AS209" s="707"/>
      <c r="AT209" s="707"/>
      <c r="AU209" s="707"/>
      <c r="AV209" s="707"/>
      <c r="AW209" s="707"/>
      <c r="AX209" s="707"/>
      <c r="AY209" s="707"/>
      <c r="AZ209" s="707"/>
      <c r="BA209" s="707"/>
      <c r="BB209" s="707"/>
      <c r="BC209" s="707"/>
      <c r="BD209" s="707"/>
      <c r="BE209" s="707"/>
      <c r="BF209" s="707"/>
      <c r="BG209" s="707"/>
      <c r="BH209" s="707"/>
      <c r="BI209" s="707"/>
      <c r="BJ209" s="707"/>
      <c r="BK209" s="707"/>
      <c r="BL209" s="707"/>
      <c r="BM209" s="707"/>
      <c r="BN209" s="707"/>
      <c r="BO209" s="707"/>
      <c r="BP209" s="707"/>
      <c r="BQ209" s="707"/>
      <c r="BR209" s="707"/>
      <c r="BS209" s="707"/>
      <c r="BT209" s="707"/>
      <c r="BU209" s="707"/>
      <c r="BV209" s="707"/>
      <c r="BW209" s="707"/>
      <c r="BX209" s="707"/>
    </row>
    <row r="210" spans="1:76" ht="15">
      <c r="A210" s="707"/>
      <c r="B210" s="707"/>
      <c r="C210" s="707"/>
      <c r="D210" s="707"/>
      <c r="E210" s="707"/>
      <c r="F210" s="707"/>
      <c r="G210" s="707"/>
      <c r="H210" s="707"/>
      <c r="I210" s="707"/>
      <c r="J210" s="707"/>
      <c r="K210" s="707"/>
      <c r="L210" s="707"/>
      <c r="M210" s="707"/>
      <c r="N210" s="707"/>
      <c r="O210" s="707"/>
      <c r="P210" s="707"/>
      <c r="Q210" s="707"/>
      <c r="R210" s="707"/>
      <c r="S210" s="707"/>
      <c r="T210" s="707"/>
      <c r="U210" s="707"/>
      <c r="V210" s="707"/>
      <c r="W210" s="707"/>
      <c r="X210" s="707"/>
      <c r="Y210" s="707"/>
      <c r="Z210" s="707"/>
      <c r="AA210" s="707"/>
      <c r="AB210" s="707"/>
      <c r="AC210" s="707"/>
      <c r="AD210" s="707"/>
      <c r="AE210" s="707"/>
      <c r="AF210" s="707"/>
      <c r="AG210" s="707"/>
      <c r="AH210" s="707"/>
      <c r="AI210" s="707"/>
      <c r="AJ210" s="707"/>
      <c r="AK210" s="707"/>
      <c r="AL210" s="707"/>
      <c r="AM210" s="707"/>
      <c r="AN210" s="707"/>
      <c r="AO210" s="707"/>
      <c r="AP210" s="707"/>
      <c r="AQ210" s="707"/>
      <c r="AR210" s="707"/>
      <c r="AS210" s="707"/>
      <c r="AT210" s="707"/>
      <c r="AU210" s="707"/>
      <c r="AV210" s="707"/>
      <c r="AW210" s="707"/>
      <c r="AX210" s="707"/>
      <c r="AY210" s="707"/>
      <c r="AZ210" s="707"/>
      <c r="BA210" s="707"/>
      <c r="BB210" s="707"/>
      <c r="BC210" s="707"/>
      <c r="BD210" s="707"/>
      <c r="BE210" s="707"/>
      <c r="BF210" s="707"/>
      <c r="BG210" s="707"/>
      <c r="BH210" s="707"/>
      <c r="BI210" s="707"/>
      <c r="BJ210" s="707"/>
      <c r="BK210" s="707"/>
      <c r="BL210" s="707"/>
      <c r="BM210" s="707"/>
      <c r="BN210" s="707"/>
      <c r="BO210" s="707"/>
      <c r="BP210" s="707"/>
      <c r="BQ210" s="707"/>
      <c r="BR210" s="707"/>
      <c r="BS210" s="707"/>
      <c r="BT210" s="707"/>
      <c r="BU210" s="707"/>
      <c r="BV210" s="707"/>
      <c r="BW210" s="707"/>
      <c r="BX210" s="707"/>
    </row>
    <row r="211" ht="15">
      <c r="A211" s="713"/>
    </row>
    <row r="212" ht="15">
      <c r="A212" s="713"/>
    </row>
    <row r="213" ht="15">
      <c r="A213" s="713"/>
    </row>
    <row r="214" ht="15">
      <c r="A214" s="713"/>
    </row>
    <row r="215" ht="15">
      <c r="A215" s="713"/>
    </row>
    <row r="216" ht="15">
      <c r="A216" s="713"/>
    </row>
    <row r="217" ht="15">
      <c r="A217" s="713"/>
    </row>
    <row r="218" ht="15">
      <c r="A218" s="713"/>
    </row>
    <row r="219" ht="15">
      <c r="A219" s="713"/>
    </row>
    <row r="220" ht="15">
      <c r="A220" s="713"/>
    </row>
    <row r="221" ht="15">
      <c r="A221" s="713"/>
    </row>
    <row r="222" ht="15">
      <c r="A222" s="713"/>
    </row>
    <row r="223" ht="15">
      <c r="A223" s="713"/>
    </row>
    <row r="224" ht="15">
      <c r="A224" s="713"/>
    </row>
    <row r="225" ht="15">
      <c r="A225" s="713"/>
    </row>
    <row r="226" ht="15">
      <c r="A226" s="713"/>
    </row>
    <row r="227" ht="15">
      <c r="A227" s="713"/>
    </row>
    <row r="228" ht="15">
      <c r="A228" s="713"/>
    </row>
    <row r="229" ht="15">
      <c r="A229" s="713"/>
    </row>
    <row r="230" ht="15">
      <c r="A230" s="713"/>
    </row>
    <row r="231" ht="15">
      <c r="A231" s="713"/>
    </row>
    <row r="232" ht="15">
      <c r="A232" s="713"/>
    </row>
    <row r="233" ht="15">
      <c r="A233" s="713"/>
    </row>
    <row r="234" ht="15">
      <c r="A234" s="713"/>
    </row>
    <row r="235" ht="15">
      <c r="A235" s="713"/>
    </row>
    <row r="236" ht="15">
      <c r="A236" s="713"/>
    </row>
    <row r="237" ht="15">
      <c r="A237" s="713"/>
    </row>
    <row r="238" ht="15">
      <c r="A238" s="713"/>
    </row>
    <row r="239" ht="15">
      <c r="A239" s="713"/>
    </row>
    <row r="240" ht="15">
      <c r="A240" s="713"/>
    </row>
    <row r="241" ht="15">
      <c r="A241" s="713"/>
    </row>
    <row r="242" ht="15">
      <c r="A242" s="713"/>
    </row>
    <row r="243" ht="15">
      <c r="A243" s="713"/>
    </row>
    <row r="244" ht="15">
      <c r="A244" s="713"/>
    </row>
    <row r="245" ht="15">
      <c r="A245" s="713"/>
    </row>
    <row r="246" ht="15">
      <c r="A246" s="713"/>
    </row>
    <row r="247" ht="15">
      <c r="A247" s="713"/>
    </row>
    <row r="248" ht="15">
      <c r="A248" s="713"/>
    </row>
    <row r="249" ht="15">
      <c r="A249" s="713"/>
    </row>
    <row r="250" ht="15">
      <c r="A250" s="713"/>
    </row>
    <row r="251" ht="15">
      <c r="A251" s="713"/>
    </row>
    <row r="252" ht="15">
      <c r="A252" s="713"/>
    </row>
    <row r="253" ht="15">
      <c r="A253" s="713"/>
    </row>
    <row r="254" ht="15">
      <c r="A254" s="713"/>
    </row>
    <row r="255" ht="15">
      <c r="A255" s="713"/>
    </row>
    <row r="256" ht="15">
      <c r="A256" s="713"/>
    </row>
    <row r="257" ht="15">
      <c r="A257" s="713"/>
    </row>
    <row r="258" ht="15">
      <c r="A258" s="713"/>
    </row>
    <row r="259" ht="15">
      <c r="A259" s="713"/>
    </row>
    <row r="260" ht="15">
      <c r="A260" s="713"/>
    </row>
    <row r="261" ht="15">
      <c r="A261" s="713"/>
    </row>
    <row r="262" ht="15">
      <c r="A262" s="713"/>
    </row>
    <row r="263" ht="15">
      <c r="A263" s="713"/>
    </row>
    <row r="264" ht="15">
      <c r="A264" s="713"/>
    </row>
    <row r="265" ht="15">
      <c r="A265" s="713"/>
    </row>
    <row r="266" ht="15">
      <c r="A266" s="713"/>
    </row>
    <row r="267" ht="15">
      <c r="A267" s="713"/>
    </row>
    <row r="268" ht="15">
      <c r="A268" s="713"/>
    </row>
    <row r="269" ht="15">
      <c r="A269" s="713"/>
    </row>
    <row r="270" ht="15">
      <c r="A270" s="713"/>
    </row>
    <row r="271" ht="15">
      <c r="A271" s="713"/>
    </row>
    <row r="272" ht="15">
      <c r="A272" s="713"/>
    </row>
    <row r="273" ht="15">
      <c r="A273" s="713"/>
    </row>
    <row r="274" ht="15">
      <c r="A274" s="713"/>
    </row>
    <row r="275" ht="15">
      <c r="A275" s="713"/>
    </row>
    <row r="276" ht="15">
      <c r="A276" s="713"/>
    </row>
    <row r="277" ht="15">
      <c r="A277" s="713"/>
    </row>
    <row r="278" ht="15">
      <c r="A278" s="713"/>
    </row>
    <row r="279" ht="15">
      <c r="A279" s="713"/>
    </row>
    <row r="280" ht="15">
      <c r="A280" s="713"/>
    </row>
    <row r="281" ht="15">
      <c r="A281" s="713"/>
    </row>
    <row r="282" ht="15">
      <c r="A282" s="713"/>
    </row>
    <row r="283" ht="15">
      <c r="A283" s="713"/>
    </row>
    <row r="284" ht="15">
      <c r="A284" s="713"/>
    </row>
    <row r="285" ht="15">
      <c r="A285" s="713"/>
    </row>
    <row r="286" ht="15">
      <c r="A286" s="713"/>
    </row>
    <row r="287" ht="15">
      <c r="A287" s="713"/>
    </row>
    <row r="288" ht="15">
      <c r="A288" s="713"/>
    </row>
    <row r="289" ht="15">
      <c r="A289" s="713"/>
    </row>
    <row r="290" ht="15">
      <c r="A290" s="713"/>
    </row>
    <row r="291" ht="15">
      <c r="A291" s="713"/>
    </row>
    <row r="292" ht="15">
      <c r="A292" s="713"/>
    </row>
    <row r="293" ht="15">
      <c r="A293" s="713"/>
    </row>
    <row r="294" ht="15">
      <c r="A294" s="713"/>
    </row>
    <row r="295" ht="15">
      <c r="A295" s="713"/>
    </row>
    <row r="296" ht="15">
      <c r="A296" s="713"/>
    </row>
    <row r="297" ht="15">
      <c r="A297" s="713"/>
    </row>
    <row r="298" ht="15">
      <c r="A298" s="713"/>
    </row>
    <row r="299" ht="15">
      <c r="A299" s="713"/>
    </row>
    <row r="300" ht="15">
      <c r="A300" s="713"/>
    </row>
  </sheetData>
  <sheetProtection password="DE92" sheet="1" objects="1" scenarios="1" selectLockedCells="1" selectUnlockedCells="1"/>
  <protectedRanges>
    <protectedRange sqref="N49:Q49" name="Range1"/>
  </protectedRanges>
  <mergeCells count="60">
    <mergeCell ref="G2:H2"/>
    <mergeCell ref="C12:I12"/>
    <mergeCell ref="C21:I21"/>
    <mergeCell ref="C13:I13"/>
    <mergeCell ref="D14:I14"/>
    <mergeCell ref="B5:C5"/>
    <mergeCell ref="D11:I11"/>
    <mergeCell ref="J6:K6"/>
    <mergeCell ref="D4:G4"/>
    <mergeCell ref="D5:G5"/>
    <mergeCell ref="J54:K56"/>
    <mergeCell ref="J43:K43"/>
    <mergeCell ref="I5:L5"/>
    <mergeCell ref="H6:I6"/>
    <mergeCell ref="D15:I15"/>
    <mergeCell ref="D40:H40"/>
    <mergeCell ref="C41:F41"/>
    <mergeCell ref="M10:O10"/>
    <mergeCell ref="K2:L2"/>
    <mergeCell ref="B2:E2"/>
    <mergeCell ref="B3:L3"/>
    <mergeCell ref="C7:I7"/>
    <mergeCell ref="C8:I8"/>
    <mergeCell ref="D9:I9"/>
    <mergeCell ref="I4:L4"/>
    <mergeCell ref="F6:G6"/>
    <mergeCell ref="B4:C4"/>
    <mergeCell ref="G31:I31"/>
    <mergeCell ref="G32:I32"/>
    <mergeCell ref="D32:E32"/>
    <mergeCell ref="C28:I28"/>
    <mergeCell ref="C29:I29"/>
    <mergeCell ref="C30:I30"/>
    <mergeCell ref="C42:I42"/>
    <mergeCell ref="C43:H43"/>
    <mergeCell ref="D34:I34"/>
    <mergeCell ref="D35:I35"/>
    <mergeCell ref="D36:I36"/>
    <mergeCell ref="D37:I37"/>
    <mergeCell ref="D38:I38"/>
    <mergeCell ref="B65:G65"/>
    <mergeCell ref="I65:L65"/>
    <mergeCell ref="B61:L62"/>
    <mergeCell ref="B60:L60"/>
    <mergeCell ref="C53:H53"/>
    <mergeCell ref="D54:F54"/>
    <mergeCell ref="D55:F55"/>
    <mergeCell ref="D56:F56"/>
    <mergeCell ref="D57:F57"/>
    <mergeCell ref="D58:F58"/>
    <mergeCell ref="D59:F59"/>
    <mergeCell ref="B64:L64"/>
    <mergeCell ref="J53:K53"/>
    <mergeCell ref="D44:G44"/>
    <mergeCell ref="D45:G45"/>
    <mergeCell ref="D47:G47"/>
    <mergeCell ref="C51:H51"/>
    <mergeCell ref="C52:H52"/>
    <mergeCell ref="C48:I48"/>
    <mergeCell ref="L54:L56"/>
  </mergeCells>
  <printOptions/>
  <pageMargins left="0.49" right="0.34" top="0.28" bottom="0.09" header="0.35" footer="0.13"/>
  <pageSetup horizontalDpi="300" verticalDpi="3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indexed="13"/>
  </sheetPr>
  <dimension ref="A1:AZ150"/>
  <sheetViews>
    <sheetView showGridLines="0" showRowColHeaders="0" zoomScaleSheetLayoutView="100" zoomScalePageLayoutView="0" workbookViewId="0" topLeftCell="A1">
      <selection activeCell="P37" sqref="P37"/>
    </sheetView>
  </sheetViews>
  <sheetFormatPr defaultColWidth="10.140625" defaultRowHeight="12.75"/>
  <cols>
    <col min="1" max="1" width="4.8515625" style="36" customWidth="1"/>
    <col min="2" max="2" width="4.7109375" style="36" customWidth="1"/>
    <col min="3" max="3" width="3.57421875" style="36" customWidth="1"/>
    <col min="4" max="4" width="15.00390625" style="36" customWidth="1"/>
    <col min="5" max="5" width="16.8515625" style="36" customWidth="1"/>
    <col min="6" max="6" width="11.7109375" style="36" customWidth="1"/>
    <col min="7" max="7" width="3.140625" style="36" customWidth="1"/>
    <col min="8" max="8" width="11.421875" style="36" customWidth="1"/>
    <col min="9" max="9" width="3.57421875" style="36" customWidth="1"/>
    <col min="10" max="10" width="11.421875" style="36" customWidth="1"/>
    <col min="11" max="11" width="3.57421875" style="36" customWidth="1"/>
    <col min="12" max="12" width="14.28125" style="36" customWidth="1"/>
    <col min="13" max="16384" width="10.140625" style="36" customWidth="1"/>
  </cols>
  <sheetData>
    <row r="1" spans="1:52" ht="15.75" thickBot="1">
      <c r="A1" s="735"/>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5"/>
      <c r="AO1" s="735"/>
      <c r="AP1" s="735"/>
      <c r="AQ1" s="735"/>
      <c r="AR1" s="735"/>
      <c r="AS1" s="735"/>
      <c r="AT1" s="735"/>
      <c r="AU1" s="735"/>
      <c r="AV1" s="735"/>
      <c r="AW1" s="735"/>
      <c r="AX1" s="735"/>
      <c r="AY1" s="735"/>
      <c r="AZ1" s="735"/>
    </row>
    <row r="2" spans="1:52" ht="20.25" customHeight="1">
      <c r="A2" s="735"/>
      <c r="B2" s="1247" t="s">
        <v>362</v>
      </c>
      <c r="C2" s="1247"/>
      <c r="D2" s="1247"/>
      <c r="E2" s="1247"/>
      <c r="F2" s="1247"/>
      <c r="G2" s="1247"/>
      <c r="H2" s="1247"/>
      <c r="I2" s="1247"/>
      <c r="J2" s="1247"/>
      <c r="K2" s="1247"/>
      <c r="L2" s="1247"/>
      <c r="M2" s="736"/>
      <c r="N2" s="736"/>
      <c r="O2" s="736"/>
      <c r="P2" s="736"/>
      <c r="Q2" s="736"/>
      <c r="R2" s="736"/>
      <c r="S2" s="736"/>
      <c r="T2" s="736"/>
      <c r="U2" s="736"/>
      <c r="V2" s="736"/>
      <c r="W2" s="736"/>
      <c r="X2" s="736"/>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row>
    <row r="3" spans="1:52" ht="27" customHeight="1">
      <c r="A3" s="735"/>
      <c r="B3" s="1248" t="s">
        <v>363</v>
      </c>
      <c r="C3" s="1248"/>
      <c r="D3" s="1248"/>
      <c r="E3" s="1248"/>
      <c r="F3" s="1248"/>
      <c r="G3" s="1248"/>
      <c r="H3" s="1248"/>
      <c r="I3" s="1248"/>
      <c r="J3" s="1248"/>
      <c r="K3" s="1248"/>
      <c r="L3" s="1248"/>
      <c r="M3" s="736"/>
      <c r="N3" s="736"/>
      <c r="O3" s="736"/>
      <c r="P3" s="736"/>
      <c r="Q3" s="736"/>
      <c r="R3" s="736"/>
      <c r="S3" s="736"/>
      <c r="T3" s="736"/>
      <c r="U3" s="736"/>
      <c r="V3" s="736"/>
      <c r="W3" s="736"/>
      <c r="X3" s="736"/>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row>
    <row r="4" spans="1:52" ht="15">
      <c r="A4" s="735"/>
      <c r="B4" s="1249" t="s">
        <v>364</v>
      </c>
      <c r="C4" s="1249"/>
      <c r="D4" s="1249"/>
      <c r="E4" s="1249"/>
      <c r="F4" s="1249"/>
      <c r="G4" s="1249"/>
      <c r="H4" s="1249"/>
      <c r="I4" s="1249"/>
      <c r="J4" s="1249"/>
      <c r="K4" s="1249"/>
      <c r="L4" s="1249"/>
      <c r="M4" s="736"/>
      <c r="N4" s="736"/>
      <c r="O4" s="736"/>
      <c r="P4" s="736"/>
      <c r="Q4" s="736"/>
      <c r="R4" s="736"/>
      <c r="S4" s="736"/>
      <c r="T4" s="736"/>
      <c r="U4" s="736"/>
      <c r="V4" s="736"/>
      <c r="W4" s="736"/>
      <c r="X4" s="736"/>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row>
    <row r="5" spans="1:52" ht="15">
      <c r="A5" s="735"/>
      <c r="B5" s="1250" t="s">
        <v>365</v>
      </c>
      <c r="C5" s="1250"/>
      <c r="D5" s="1250"/>
      <c r="E5" s="1250"/>
      <c r="F5" s="1250"/>
      <c r="G5" s="1251" t="s">
        <v>366</v>
      </c>
      <c r="H5" s="1251"/>
      <c r="I5" s="1251"/>
      <c r="J5" s="1251"/>
      <c r="K5" s="1251"/>
      <c r="L5" s="1251"/>
      <c r="M5" s="736"/>
      <c r="N5" s="736"/>
      <c r="O5" s="736"/>
      <c r="P5" s="736"/>
      <c r="Q5" s="736"/>
      <c r="R5" s="736"/>
      <c r="S5" s="736"/>
      <c r="T5" s="736"/>
      <c r="U5" s="736"/>
      <c r="V5" s="736"/>
      <c r="W5" s="736"/>
      <c r="X5" s="736"/>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row>
    <row r="6" spans="1:52" ht="15.75">
      <c r="A6" s="735"/>
      <c r="B6" s="1242" t="str">
        <f>CONCATENATE("Sri./Smt. "," ",DATA!F17)</f>
        <v>Sri./Smt.  T.V.Sreenivasulu</v>
      </c>
      <c r="C6" s="1242"/>
      <c r="D6" s="1242"/>
      <c r="E6" s="1242"/>
      <c r="F6" s="1242"/>
      <c r="G6" s="1241" t="str">
        <f>CONCATENATE(DATA!AY169,"  ",DATA!F8)</f>
        <v>Sri.  K.Chandra Sekhar Rao</v>
      </c>
      <c r="H6" s="1241"/>
      <c r="I6" s="1241"/>
      <c r="J6" s="1241"/>
      <c r="K6" s="1241"/>
      <c r="L6" s="1241"/>
      <c r="M6" s="736"/>
      <c r="N6" s="736"/>
      <c r="O6" s="736"/>
      <c r="P6" s="736"/>
      <c r="Q6" s="736"/>
      <c r="R6" s="736"/>
      <c r="S6" s="736"/>
      <c r="T6" s="736"/>
      <c r="U6" s="736"/>
      <c r="V6" s="736"/>
      <c r="W6" s="736"/>
      <c r="X6" s="736"/>
      <c r="Y6" s="735"/>
      <c r="Z6" s="735"/>
      <c r="AA6" s="735"/>
      <c r="AB6" s="735"/>
      <c r="AC6" s="735"/>
      <c r="AD6" s="735"/>
      <c r="AE6" s="735"/>
      <c r="AF6" s="735"/>
      <c r="AG6" s="735"/>
      <c r="AH6" s="735"/>
      <c r="AI6" s="735"/>
      <c r="AJ6" s="735"/>
      <c r="AK6" s="735"/>
      <c r="AL6" s="735"/>
      <c r="AM6" s="735"/>
      <c r="AN6" s="735"/>
      <c r="AO6" s="735"/>
      <c r="AP6" s="735"/>
      <c r="AQ6" s="735"/>
      <c r="AR6" s="735"/>
      <c r="AS6" s="735"/>
      <c r="AT6" s="735"/>
      <c r="AU6" s="735"/>
      <c r="AV6" s="735"/>
      <c r="AW6" s="735"/>
      <c r="AX6" s="735"/>
      <c r="AY6" s="735"/>
      <c r="AZ6" s="735"/>
    </row>
    <row r="7" spans="1:52" ht="15.75">
      <c r="A7" s="735"/>
      <c r="B7" s="1242" t="str">
        <f>DATA!F18</f>
        <v>Head Master</v>
      </c>
      <c r="C7" s="1242"/>
      <c r="D7" s="1242"/>
      <c r="E7" s="1242"/>
      <c r="F7" s="1242"/>
      <c r="G7" s="1241" t="str">
        <f>DATA!BO166</f>
        <v>SA(PS)</v>
      </c>
      <c r="H7" s="1241"/>
      <c r="I7" s="1241"/>
      <c r="J7" s="1241"/>
      <c r="K7" s="1241"/>
      <c r="L7" s="1241"/>
      <c r="M7" s="736"/>
      <c r="N7" s="736"/>
      <c r="O7" s="736"/>
      <c r="P7" s="736"/>
      <c r="Q7" s="736"/>
      <c r="R7" s="736"/>
      <c r="S7" s="736"/>
      <c r="T7" s="736"/>
      <c r="U7" s="736"/>
      <c r="V7" s="736"/>
      <c r="W7" s="736"/>
      <c r="X7" s="736"/>
      <c r="Y7" s="735"/>
      <c r="Z7" s="735"/>
      <c r="AA7" s="735"/>
      <c r="AB7" s="735"/>
      <c r="AC7" s="735"/>
      <c r="AD7" s="735"/>
      <c r="AE7" s="735"/>
      <c r="AF7" s="735"/>
      <c r="AG7" s="735"/>
      <c r="AH7" s="735"/>
      <c r="AI7" s="735"/>
      <c r="AJ7" s="735"/>
      <c r="AK7" s="735"/>
      <c r="AL7" s="735"/>
      <c r="AM7" s="735"/>
      <c r="AN7" s="735"/>
      <c r="AO7" s="735"/>
      <c r="AP7" s="735"/>
      <c r="AQ7" s="735"/>
      <c r="AR7" s="735"/>
      <c r="AS7" s="735"/>
      <c r="AT7" s="735"/>
      <c r="AU7" s="735"/>
      <c r="AV7" s="735"/>
      <c r="AW7" s="735"/>
      <c r="AX7" s="735"/>
      <c r="AY7" s="735"/>
      <c r="AZ7" s="735"/>
    </row>
    <row r="8" spans="1:52" ht="15.75">
      <c r="A8" s="735"/>
      <c r="B8" s="1242" t="str">
        <f>DATA!F19</f>
        <v>ZPHS, Jonnagiri</v>
      </c>
      <c r="C8" s="1242"/>
      <c r="D8" s="1242"/>
      <c r="E8" s="1242"/>
      <c r="F8" s="1242"/>
      <c r="G8" s="1241" t="str">
        <f>CONCATENATE(DATA!E11,",  ",DATA!E12)</f>
        <v>ZP High School,  Jonnagiri</v>
      </c>
      <c r="H8" s="1241"/>
      <c r="I8" s="1241"/>
      <c r="J8" s="1241"/>
      <c r="K8" s="1241"/>
      <c r="L8" s="1241"/>
      <c r="M8" s="736"/>
      <c r="N8" s="736"/>
      <c r="O8" s="736"/>
      <c r="P8" s="736"/>
      <c r="Q8" s="736"/>
      <c r="R8" s="736"/>
      <c r="S8" s="736"/>
      <c r="T8" s="736"/>
      <c r="U8" s="736"/>
      <c r="V8" s="736"/>
      <c r="W8" s="736"/>
      <c r="X8" s="736"/>
      <c r="Y8" s="735"/>
      <c r="Z8" s="735"/>
      <c r="AA8" s="735"/>
      <c r="AB8" s="735"/>
      <c r="AC8" s="735"/>
      <c r="AD8" s="735"/>
      <c r="AE8" s="735"/>
      <c r="AF8" s="735"/>
      <c r="AG8" s="735"/>
      <c r="AH8" s="735"/>
      <c r="AI8" s="735"/>
      <c r="AJ8" s="735"/>
      <c r="AK8" s="735"/>
      <c r="AL8" s="735"/>
      <c r="AM8" s="735"/>
      <c r="AN8" s="735"/>
      <c r="AO8" s="735"/>
      <c r="AP8" s="735"/>
      <c r="AQ8" s="735"/>
      <c r="AR8" s="735"/>
      <c r="AS8" s="735"/>
      <c r="AT8" s="735"/>
      <c r="AU8" s="735"/>
      <c r="AV8" s="735"/>
      <c r="AW8" s="735"/>
      <c r="AX8" s="735"/>
      <c r="AY8" s="735"/>
      <c r="AZ8" s="735"/>
    </row>
    <row r="9" spans="1:52" ht="15.75">
      <c r="A9" s="735"/>
      <c r="B9" s="1242" t="str">
        <f>CONCATENATE(DATA!F20,"  (","  Mandal",")")</f>
        <v>Tuggali  (  Mandal)</v>
      </c>
      <c r="C9" s="1242"/>
      <c r="D9" s="1242"/>
      <c r="E9" s="1242"/>
      <c r="F9" s="1242"/>
      <c r="G9" s="1241" t="str">
        <f>CONCATENATE(DATA!E13," (","Mandal",")")</f>
        <v>Tuggali (Mandal)</v>
      </c>
      <c r="H9" s="1241"/>
      <c r="I9" s="1241"/>
      <c r="J9" s="1241"/>
      <c r="K9" s="1241"/>
      <c r="L9" s="1241"/>
      <c r="M9" s="736"/>
      <c r="N9" s="736"/>
      <c r="O9" s="736"/>
      <c r="P9" s="736"/>
      <c r="Q9" s="736"/>
      <c r="R9" s="736"/>
      <c r="S9" s="736"/>
      <c r="T9" s="736"/>
      <c r="U9" s="736"/>
      <c r="V9" s="736"/>
      <c r="W9" s="736"/>
      <c r="X9" s="736"/>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5"/>
      <c r="AY9" s="735"/>
      <c r="AZ9" s="735"/>
    </row>
    <row r="10" spans="1:52" ht="15">
      <c r="A10" s="735"/>
      <c r="B10" s="1243" t="s">
        <v>367</v>
      </c>
      <c r="C10" s="1243"/>
      <c r="D10" s="1244"/>
      <c r="E10" s="1245" t="s">
        <v>368</v>
      </c>
      <c r="F10" s="1246"/>
      <c r="G10" s="1232" t="s">
        <v>369</v>
      </c>
      <c r="H10" s="1233"/>
      <c r="I10" s="1233"/>
      <c r="J10" s="1233"/>
      <c r="K10" s="1236" t="s">
        <v>600</v>
      </c>
      <c r="L10" s="1237"/>
      <c r="M10" s="736"/>
      <c r="N10" s="736"/>
      <c r="O10" s="736"/>
      <c r="P10" s="736"/>
      <c r="Q10" s="736"/>
      <c r="R10" s="736"/>
      <c r="S10" s="736"/>
      <c r="T10" s="736"/>
      <c r="U10" s="736"/>
      <c r="V10" s="736"/>
      <c r="W10" s="736"/>
      <c r="X10" s="736"/>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5"/>
      <c r="AY10" s="735"/>
      <c r="AZ10" s="735"/>
    </row>
    <row r="11" spans="1:52" ht="15">
      <c r="A11" s="735"/>
      <c r="B11" s="1228">
        <f>IF(DATA!F21="","",DATA!F21)</f>
      </c>
      <c r="C11" s="1228"/>
      <c r="D11" s="1229"/>
      <c r="E11" s="1230">
        <f>IF(DATA!F22="","",DATA!F22)</f>
      </c>
      <c r="F11" s="1231"/>
      <c r="G11" s="1234" t="str">
        <f>DATA!E10</f>
        <v>ASKPRT325V</v>
      </c>
      <c r="H11" s="1235"/>
      <c r="I11" s="1235"/>
      <c r="J11" s="1235"/>
      <c r="K11" s="1239" t="str">
        <f>DATA!P12</f>
        <v>098756</v>
      </c>
      <c r="L11" s="1240"/>
      <c r="M11" s="736"/>
      <c r="N11" s="736"/>
      <c r="O11" s="736"/>
      <c r="P11" s="736"/>
      <c r="Q11" s="736"/>
      <c r="R11" s="736"/>
      <c r="S11" s="736"/>
      <c r="T11" s="736"/>
      <c r="U11" s="736"/>
      <c r="V11" s="736"/>
      <c r="W11" s="736"/>
      <c r="X11" s="736"/>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5"/>
      <c r="AY11" s="735"/>
      <c r="AZ11" s="735"/>
    </row>
    <row r="12" spans="1:52" ht="15">
      <c r="A12" s="735"/>
      <c r="B12" s="1238" t="s">
        <v>370</v>
      </c>
      <c r="C12" s="1238"/>
      <c r="D12" s="1238"/>
      <c r="E12" s="1238"/>
      <c r="F12" s="1238"/>
      <c r="G12" s="1238"/>
      <c r="H12" s="1238"/>
      <c r="I12" s="1238"/>
      <c r="J12" s="1238"/>
      <c r="K12" s="1238"/>
      <c r="L12" s="1238"/>
      <c r="M12" s="736"/>
      <c r="N12" s="736"/>
      <c r="O12" s="736"/>
      <c r="P12" s="736"/>
      <c r="Q12" s="736"/>
      <c r="R12" s="736"/>
      <c r="S12" s="736"/>
      <c r="T12" s="736"/>
      <c r="U12" s="736"/>
      <c r="V12" s="736"/>
      <c r="W12" s="736"/>
      <c r="X12" s="736"/>
      <c r="Y12" s="735"/>
      <c r="Z12" s="735"/>
      <c r="AA12" s="735"/>
      <c r="AB12" s="735"/>
      <c r="AC12" s="735"/>
      <c r="AD12" s="735"/>
      <c r="AE12" s="735"/>
      <c r="AF12" s="735"/>
      <c r="AG12" s="735"/>
      <c r="AH12" s="735"/>
      <c r="AI12" s="735"/>
      <c r="AJ12" s="735"/>
      <c r="AK12" s="735"/>
      <c r="AL12" s="735"/>
      <c r="AM12" s="735"/>
      <c r="AN12" s="735"/>
      <c r="AO12" s="735"/>
      <c r="AP12" s="735"/>
      <c r="AQ12" s="735"/>
      <c r="AR12" s="735"/>
      <c r="AS12" s="735"/>
      <c r="AT12" s="735"/>
      <c r="AU12" s="735"/>
      <c r="AV12" s="735"/>
      <c r="AW12" s="735"/>
      <c r="AX12" s="735"/>
      <c r="AY12" s="735"/>
      <c r="AZ12" s="735"/>
    </row>
    <row r="13" spans="1:52" ht="15" customHeight="1">
      <c r="A13" s="735"/>
      <c r="B13" s="1221" t="s">
        <v>371</v>
      </c>
      <c r="C13" s="1221"/>
      <c r="D13" s="1221"/>
      <c r="E13" s="473" t="s">
        <v>372</v>
      </c>
      <c r="F13" s="453" t="s">
        <v>373</v>
      </c>
      <c r="G13" s="1222" t="s">
        <v>374</v>
      </c>
      <c r="H13" s="1222"/>
      <c r="I13" s="1222"/>
      <c r="J13" s="1222"/>
      <c r="K13" s="1223" t="s">
        <v>375</v>
      </c>
      <c r="L13" s="1223"/>
      <c r="M13" s="736"/>
      <c r="N13" s="736"/>
      <c r="O13" s="736"/>
      <c r="P13" s="736"/>
      <c r="Q13" s="736"/>
      <c r="R13" s="736"/>
      <c r="S13" s="736"/>
      <c r="T13" s="736"/>
      <c r="U13" s="736"/>
      <c r="V13" s="736"/>
      <c r="W13" s="736"/>
      <c r="X13" s="736"/>
      <c r="Y13" s="735"/>
      <c r="Z13" s="735"/>
      <c r="AA13" s="735"/>
      <c r="AB13" s="735"/>
      <c r="AC13" s="735"/>
      <c r="AD13" s="735"/>
      <c r="AE13" s="735"/>
      <c r="AF13" s="735"/>
      <c r="AG13" s="735"/>
      <c r="AH13" s="735"/>
      <c r="AI13" s="735"/>
      <c r="AJ13" s="735"/>
      <c r="AK13" s="735"/>
      <c r="AL13" s="735"/>
      <c r="AM13" s="735"/>
      <c r="AN13" s="735"/>
      <c r="AO13" s="735"/>
      <c r="AP13" s="735"/>
      <c r="AQ13" s="735"/>
      <c r="AR13" s="735"/>
      <c r="AS13" s="735"/>
      <c r="AT13" s="735"/>
      <c r="AU13" s="735"/>
      <c r="AV13" s="735"/>
      <c r="AW13" s="735"/>
      <c r="AX13" s="735"/>
      <c r="AY13" s="735"/>
      <c r="AZ13" s="735"/>
    </row>
    <row r="14" spans="1:52" ht="15">
      <c r="A14" s="735"/>
      <c r="B14" s="1224">
        <v>1</v>
      </c>
      <c r="C14" s="1224"/>
      <c r="D14" s="1224"/>
      <c r="E14" s="474"/>
      <c r="F14" s="799">
        <f>'Annexure -I I'!H54</f>
      </c>
      <c r="G14" s="1225" t="s">
        <v>376</v>
      </c>
      <c r="H14" s="1225"/>
      <c r="I14" s="1226" t="s">
        <v>42</v>
      </c>
      <c r="J14" s="1226"/>
      <c r="K14" s="1227" t="s">
        <v>377</v>
      </c>
      <c r="L14" s="1227"/>
      <c r="M14" s="736"/>
      <c r="N14" s="736"/>
      <c r="O14" s="736"/>
      <c r="P14" s="736"/>
      <c r="Q14" s="736"/>
      <c r="R14" s="736"/>
      <c r="S14" s="736"/>
      <c r="T14" s="736"/>
      <c r="U14" s="736"/>
      <c r="V14" s="736"/>
      <c r="W14" s="736"/>
      <c r="X14" s="736"/>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5"/>
      <c r="AY14" s="735"/>
      <c r="AZ14" s="735"/>
    </row>
    <row r="15" spans="1:52" ht="15">
      <c r="A15" s="735"/>
      <c r="B15" s="1216">
        <v>2</v>
      </c>
      <c r="C15" s="1216"/>
      <c r="D15" s="1216"/>
      <c r="E15" s="475"/>
      <c r="F15" s="799">
        <f>'Annexure -I I'!H55</f>
      </c>
      <c r="G15" s="1217">
        <v>41699</v>
      </c>
      <c r="H15" s="1217"/>
      <c r="I15" s="1218">
        <v>42063</v>
      </c>
      <c r="J15" s="1218"/>
      <c r="K15" s="1219" t="s">
        <v>780</v>
      </c>
      <c r="L15" s="1219"/>
      <c r="M15" s="736"/>
      <c r="N15" s="736"/>
      <c r="O15" s="736"/>
      <c r="P15" s="736"/>
      <c r="Q15" s="736"/>
      <c r="R15" s="736"/>
      <c r="S15" s="736"/>
      <c r="T15" s="736"/>
      <c r="U15" s="736"/>
      <c r="V15" s="736"/>
      <c r="W15" s="736"/>
      <c r="X15" s="736"/>
      <c r="Y15" s="735"/>
      <c r="Z15" s="735"/>
      <c r="AA15" s="735"/>
      <c r="AB15" s="735"/>
      <c r="AC15" s="735"/>
      <c r="AD15" s="735"/>
      <c r="AE15" s="735"/>
      <c r="AF15" s="735"/>
      <c r="AG15" s="735"/>
      <c r="AH15" s="735"/>
      <c r="AI15" s="735"/>
      <c r="AJ15" s="735"/>
      <c r="AK15" s="735"/>
      <c r="AL15" s="735"/>
      <c r="AM15" s="735"/>
      <c r="AN15" s="735"/>
      <c r="AO15" s="735"/>
      <c r="AP15" s="735"/>
      <c r="AQ15" s="735"/>
      <c r="AR15" s="735"/>
      <c r="AS15" s="735"/>
      <c r="AT15" s="735"/>
      <c r="AU15" s="735"/>
      <c r="AV15" s="735"/>
      <c r="AW15" s="735"/>
      <c r="AX15" s="735"/>
      <c r="AY15" s="735"/>
      <c r="AZ15" s="735"/>
    </row>
    <row r="16" spans="1:52" ht="15">
      <c r="A16" s="735"/>
      <c r="B16" s="1216">
        <v>3</v>
      </c>
      <c r="C16" s="1216"/>
      <c r="D16" s="1216"/>
      <c r="E16" s="475"/>
      <c r="F16" s="800">
        <f>'Annexure -I I'!H56</f>
      </c>
      <c r="G16" s="1217"/>
      <c r="H16" s="1217"/>
      <c r="I16" s="1218"/>
      <c r="J16" s="1218"/>
      <c r="K16" s="1219"/>
      <c r="L16" s="1219"/>
      <c r="M16" s="736"/>
      <c r="N16" s="736"/>
      <c r="O16" s="736"/>
      <c r="P16" s="736"/>
      <c r="Q16" s="736"/>
      <c r="R16" s="736"/>
      <c r="S16" s="736"/>
      <c r="T16" s="736"/>
      <c r="U16" s="736"/>
      <c r="V16" s="736"/>
      <c r="W16" s="736"/>
      <c r="X16" s="736"/>
      <c r="Y16" s="735"/>
      <c r="Z16" s="735"/>
      <c r="AA16" s="735"/>
      <c r="AB16" s="735"/>
      <c r="AC16" s="735"/>
      <c r="AD16" s="735"/>
      <c r="AE16" s="735"/>
      <c r="AF16" s="735"/>
      <c r="AG16" s="735"/>
      <c r="AH16" s="735"/>
      <c r="AI16" s="735"/>
      <c r="AJ16" s="735"/>
      <c r="AK16" s="735"/>
      <c r="AL16" s="735"/>
      <c r="AM16" s="735"/>
      <c r="AN16" s="735"/>
      <c r="AO16" s="735"/>
      <c r="AP16" s="735"/>
      <c r="AQ16" s="735"/>
      <c r="AR16" s="735"/>
      <c r="AS16" s="735"/>
      <c r="AT16" s="735"/>
      <c r="AU16" s="735"/>
      <c r="AV16" s="735"/>
      <c r="AW16" s="735"/>
      <c r="AX16" s="735"/>
      <c r="AY16" s="735"/>
      <c r="AZ16" s="735"/>
    </row>
    <row r="17" spans="1:52" ht="15">
      <c r="A17" s="735"/>
      <c r="B17" s="1220">
        <v>4</v>
      </c>
      <c r="C17" s="1220"/>
      <c r="D17" s="1220"/>
      <c r="E17" s="476"/>
      <c r="F17" s="801">
        <f>IF(SUM('Annexure -I I'!H57:H59)=0,"",SUM('Annexure -I I'!H57:H59))</f>
      </c>
      <c r="G17" s="1217"/>
      <c r="H17" s="1217"/>
      <c r="I17" s="1218"/>
      <c r="J17" s="1218"/>
      <c r="K17" s="1219"/>
      <c r="L17" s="1219"/>
      <c r="M17" s="736"/>
      <c r="N17" s="736"/>
      <c r="O17" s="736"/>
      <c r="P17" s="736"/>
      <c r="Q17" s="736"/>
      <c r="R17" s="736"/>
      <c r="S17" s="736"/>
      <c r="T17" s="736"/>
      <c r="U17" s="736"/>
      <c r="V17" s="736"/>
      <c r="W17" s="736"/>
      <c r="X17" s="736"/>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c r="AX17" s="735"/>
      <c r="AY17" s="735"/>
      <c r="AZ17" s="735"/>
    </row>
    <row r="18" spans="1:52" ht="15.75">
      <c r="A18" s="735"/>
      <c r="B18" s="1214" t="s">
        <v>378</v>
      </c>
      <c r="C18" s="1214"/>
      <c r="D18" s="1214"/>
      <c r="E18" s="1214"/>
      <c r="F18" s="1214"/>
      <c r="G18" s="1214"/>
      <c r="H18" s="1214"/>
      <c r="I18" s="1214"/>
      <c r="J18" s="1214"/>
      <c r="K18" s="1214"/>
      <c r="L18" s="1214"/>
      <c r="M18" s="736"/>
      <c r="N18" s="736"/>
      <c r="O18" s="736"/>
      <c r="P18" s="736"/>
      <c r="Q18" s="736"/>
      <c r="R18" s="736"/>
      <c r="S18" s="736"/>
      <c r="T18" s="736"/>
      <c r="U18" s="736"/>
      <c r="V18" s="736"/>
      <c r="W18" s="736"/>
      <c r="X18" s="736"/>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X18" s="735"/>
      <c r="AY18" s="735"/>
      <c r="AZ18" s="735"/>
    </row>
    <row r="19" spans="1:52" ht="15">
      <c r="A19" s="735"/>
      <c r="B19" s="37">
        <v>1</v>
      </c>
      <c r="C19" s="1201" t="s">
        <v>379</v>
      </c>
      <c r="D19" s="1201"/>
      <c r="E19" s="39"/>
      <c r="F19" s="39"/>
      <c r="G19" s="40" t="s">
        <v>326</v>
      </c>
      <c r="H19" s="492">
        <f>Bill!P27</f>
        <v>450049</v>
      </c>
      <c r="I19" s="41"/>
      <c r="J19" s="42"/>
      <c r="K19" s="41"/>
      <c r="L19" s="43"/>
      <c r="M19" s="736"/>
      <c r="N19" s="736"/>
      <c r="O19" s="736"/>
      <c r="P19" s="736"/>
      <c r="Q19" s="736"/>
      <c r="R19" s="736"/>
      <c r="S19" s="736"/>
      <c r="T19" s="736"/>
      <c r="U19" s="736"/>
      <c r="V19" s="736"/>
      <c r="W19" s="736"/>
      <c r="X19" s="736"/>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X19" s="735"/>
      <c r="AY19" s="735"/>
      <c r="AZ19" s="735"/>
    </row>
    <row r="20" spans="1:52" ht="15">
      <c r="A20" s="735"/>
      <c r="B20" s="37"/>
      <c r="C20" s="44" t="s">
        <v>328</v>
      </c>
      <c r="D20" s="1215" t="s">
        <v>380</v>
      </c>
      <c r="E20" s="1215"/>
      <c r="F20" s="1215"/>
      <c r="G20" s="46" t="s">
        <v>326</v>
      </c>
      <c r="H20" s="493">
        <v>0</v>
      </c>
      <c r="I20" s="41"/>
      <c r="J20" s="42"/>
      <c r="K20" s="41"/>
      <c r="L20" s="43"/>
      <c r="M20" s="736"/>
      <c r="N20" s="736"/>
      <c r="O20" s="736"/>
      <c r="P20" s="736"/>
      <c r="Q20" s="736"/>
      <c r="R20" s="736"/>
      <c r="S20" s="736"/>
      <c r="T20" s="736"/>
      <c r="U20" s="736"/>
      <c r="V20" s="736"/>
      <c r="W20" s="736"/>
      <c r="X20" s="736"/>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X20" s="735"/>
      <c r="AY20" s="735"/>
      <c r="AZ20" s="735"/>
    </row>
    <row r="21" spans="1:52" ht="15">
      <c r="A21" s="735"/>
      <c r="B21" s="37"/>
      <c r="C21" s="44" t="s">
        <v>330</v>
      </c>
      <c r="D21" s="1210" t="s">
        <v>381</v>
      </c>
      <c r="E21" s="1210"/>
      <c r="F21" s="1210"/>
      <c r="G21" s="46" t="s">
        <v>326</v>
      </c>
      <c r="H21" s="493">
        <v>0</v>
      </c>
      <c r="I21" s="47"/>
      <c r="J21" s="42"/>
      <c r="K21" s="41"/>
      <c r="L21" s="43"/>
      <c r="M21" s="736"/>
      <c r="N21" s="736"/>
      <c r="O21" s="736"/>
      <c r="P21" s="736"/>
      <c r="Q21" s="736"/>
      <c r="R21" s="736"/>
      <c r="S21" s="736"/>
      <c r="T21" s="736"/>
      <c r="U21" s="736"/>
      <c r="V21" s="736"/>
      <c r="W21" s="736"/>
      <c r="X21" s="736"/>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X21" s="735"/>
      <c r="AY21" s="735"/>
      <c r="AZ21" s="735"/>
    </row>
    <row r="22" spans="1:52" ht="15">
      <c r="A22" s="735"/>
      <c r="B22" s="37"/>
      <c r="C22" s="44"/>
      <c r="D22" s="1210" t="s">
        <v>382</v>
      </c>
      <c r="E22" s="1210"/>
      <c r="F22" s="1210"/>
      <c r="G22" s="48"/>
      <c r="H22" s="494"/>
      <c r="I22" s="41"/>
      <c r="J22" s="42"/>
      <c r="K22" s="41"/>
      <c r="L22" s="43"/>
      <c r="M22" s="736"/>
      <c r="N22" s="736"/>
      <c r="O22" s="736"/>
      <c r="P22" s="736"/>
      <c r="Q22" s="736"/>
      <c r="R22" s="736"/>
      <c r="S22" s="736"/>
      <c r="T22" s="736"/>
      <c r="U22" s="736"/>
      <c r="V22" s="736"/>
      <c r="W22" s="736"/>
      <c r="X22" s="736"/>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X22" s="735"/>
      <c r="AY22" s="735"/>
      <c r="AZ22" s="735"/>
    </row>
    <row r="23" spans="1:52" ht="15">
      <c r="A23" s="735"/>
      <c r="B23" s="37"/>
      <c r="C23" s="44" t="s">
        <v>331</v>
      </c>
      <c r="D23" s="1210" t="s">
        <v>383</v>
      </c>
      <c r="E23" s="1210"/>
      <c r="F23" s="1210"/>
      <c r="G23" s="40" t="s">
        <v>326</v>
      </c>
      <c r="H23" s="492">
        <v>0</v>
      </c>
      <c r="I23" s="41"/>
      <c r="J23" s="42"/>
      <c r="K23" s="41"/>
      <c r="L23" s="43"/>
      <c r="M23" s="736"/>
      <c r="N23" s="736"/>
      <c r="O23" s="736"/>
      <c r="P23" s="736"/>
      <c r="Q23" s="736"/>
      <c r="R23" s="736"/>
      <c r="S23" s="736"/>
      <c r="T23" s="736"/>
      <c r="U23" s="736"/>
      <c r="V23" s="736"/>
      <c r="W23" s="736"/>
      <c r="X23" s="736"/>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X23" s="735"/>
      <c r="AY23" s="735"/>
      <c r="AZ23" s="735"/>
    </row>
    <row r="24" spans="1:52" ht="15">
      <c r="A24" s="735"/>
      <c r="B24" s="37"/>
      <c r="C24" s="44"/>
      <c r="D24" s="1210" t="s">
        <v>384</v>
      </c>
      <c r="E24" s="1210"/>
      <c r="F24" s="1210"/>
      <c r="G24" s="49"/>
      <c r="H24" s="495"/>
      <c r="I24" s="41"/>
      <c r="J24" s="42"/>
      <c r="K24" s="41"/>
      <c r="L24" s="43"/>
      <c r="M24" s="736"/>
      <c r="N24" s="736"/>
      <c r="O24" s="736"/>
      <c r="P24" s="736"/>
      <c r="Q24" s="736"/>
      <c r="R24" s="736"/>
      <c r="S24" s="736"/>
      <c r="T24" s="736"/>
      <c r="U24" s="736"/>
      <c r="V24" s="736"/>
      <c r="W24" s="736"/>
      <c r="X24" s="736"/>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5"/>
      <c r="AY24" s="735"/>
      <c r="AZ24" s="735"/>
    </row>
    <row r="25" spans="1:52" ht="15">
      <c r="A25" s="735"/>
      <c r="B25" s="37"/>
      <c r="C25" s="38" t="s">
        <v>347</v>
      </c>
      <c r="D25" s="50" t="s">
        <v>30</v>
      </c>
      <c r="E25" s="45"/>
      <c r="F25" s="45"/>
      <c r="G25" s="51" t="s">
        <v>326</v>
      </c>
      <c r="H25" s="496">
        <f>H19+H20+H21+H23</f>
        <v>450049</v>
      </c>
      <c r="I25" s="41"/>
      <c r="J25" s="42"/>
      <c r="K25" s="41" t="s">
        <v>326</v>
      </c>
      <c r="L25" s="488">
        <f>H25</f>
        <v>450049</v>
      </c>
      <c r="M25" s="736"/>
      <c r="N25" s="736"/>
      <c r="O25" s="736"/>
      <c r="P25" s="736"/>
      <c r="Q25" s="736"/>
      <c r="R25" s="736"/>
      <c r="S25" s="736"/>
      <c r="T25" s="736"/>
      <c r="U25" s="736"/>
      <c r="V25" s="736"/>
      <c r="W25" s="736"/>
      <c r="X25" s="736"/>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row>
    <row r="26" spans="1:52" ht="15">
      <c r="A26" s="735"/>
      <c r="B26" s="37">
        <v>2</v>
      </c>
      <c r="C26" s="1211" t="s">
        <v>385</v>
      </c>
      <c r="D26" s="1211"/>
      <c r="E26" s="1211"/>
      <c r="F26" s="1211"/>
      <c r="G26" s="51"/>
      <c r="H26" s="497"/>
      <c r="I26" s="52"/>
      <c r="J26" s="42"/>
      <c r="K26" s="41"/>
      <c r="L26" s="498"/>
      <c r="M26" s="736"/>
      <c r="N26" s="736"/>
      <c r="O26" s="736"/>
      <c r="P26" s="736"/>
      <c r="Q26" s="736"/>
      <c r="R26" s="736"/>
      <c r="S26" s="736"/>
      <c r="T26" s="736"/>
      <c r="U26" s="736"/>
      <c r="V26" s="736"/>
      <c r="W26" s="736"/>
      <c r="X26" s="736"/>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row>
    <row r="27" spans="1:52" ht="15">
      <c r="A27" s="735"/>
      <c r="B27" s="37"/>
      <c r="C27" s="44" t="s">
        <v>328</v>
      </c>
      <c r="D27" s="45" t="s">
        <v>386</v>
      </c>
      <c r="E27" s="45"/>
      <c r="F27" s="53"/>
      <c r="G27" s="486" t="s">
        <v>326</v>
      </c>
      <c r="H27" s="491">
        <f>'Annexure -I I'!L11</f>
        <v>24965</v>
      </c>
      <c r="I27" s="52"/>
      <c r="J27" s="42"/>
      <c r="K27" s="41"/>
      <c r="L27" s="498"/>
      <c r="M27" s="736"/>
      <c r="N27" s="736"/>
      <c r="O27" s="736"/>
      <c r="P27" s="736"/>
      <c r="Q27" s="736"/>
      <c r="R27" s="736"/>
      <c r="S27" s="736"/>
      <c r="T27" s="736"/>
      <c r="U27" s="736"/>
      <c r="V27" s="736"/>
      <c r="W27" s="736"/>
      <c r="X27" s="736"/>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row>
    <row r="28" spans="1:52" ht="15">
      <c r="A28" s="735"/>
      <c r="B28" s="37"/>
      <c r="C28" s="44" t="s">
        <v>330</v>
      </c>
      <c r="D28" s="1212" t="s">
        <v>387</v>
      </c>
      <c r="E28" s="1212"/>
      <c r="F28" s="53"/>
      <c r="G28" s="486" t="s">
        <v>326</v>
      </c>
      <c r="H28" s="491">
        <f>IF('Annexure -I I'!K14="",0,'Annexure -I I'!K14)</f>
        <v>0</v>
      </c>
      <c r="I28" s="52"/>
      <c r="J28" s="42"/>
      <c r="K28" s="55" t="s">
        <v>326</v>
      </c>
      <c r="L28" s="499">
        <f>H27+H28</f>
        <v>24965</v>
      </c>
      <c r="M28" s="736"/>
      <c r="N28" s="736"/>
      <c r="O28" s="736"/>
      <c r="P28" s="736"/>
      <c r="Q28" s="736"/>
      <c r="R28" s="736"/>
      <c r="S28" s="736"/>
      <c r="T28" s="736"/>
      <c r="U28" s="736"/>
      <c r="V28" s="736"/>
      <c r="W28" s="736"/>
      <c r="X28" s="736"/>
      <c r="Y28" s="735"/>
      <c r="Z28" s="735"/>
      <c r="AA28" s="735"/>
      <c r="AB28" s="735"/>
      <c r="AC28" s="735"/>
      <c r="AD28" s="735"/>
      <c r="AE28" s="735"/>
      <c r="AF28" s="735"/>
      <c r="AG28" s="735"/>
      <c r="AH28" s="735"/>
      <c r="AI28" s="735"/>
      <c r="AJ28" s="735"/>
      <c r="AK28" s="735"/>
      <c r="AL28" s="735"/>
      <c r="AM28" s="735"/>
      <c r="AN28" s="735"/>
      <c r="AO28" s="735"/>
      <c r="AP28" s="735"/>
      <c r="AQ28" s="735"/>
      <c r="AR28" s="735"/>
      <c r="AS28" s="735"/>
      <c r="AT28" s="735"/>
      <c r="AU28" s="735"/>
      <c r="AV28" s="735"/>
      <c r="AW28" s="735"/>
      <c r="AX28" s="735"/>
      <c r="AY28" s="735"/>
      <c r="AZ28" s="735"/>
    </row>
    <row r="29" spans="1:52" ht="15">
      <c r="A29" s="735"/>
      <c r="B29" s="37">
        <v>3</v>
      </c>
      <c r="C29" s="1213" t="s">
        <v>388</v>
      </c>
      <c r="D29" s="1213"/>
      <c r="E29" s="1213"/>
      <c r="F29" s="1213"/>
      <c r="G29" s="39"/>
      <c r="H29" s="497"/>
      <c r="I29" s="52"/>
      <c r="J29" s="42"/>
      <c r="K29" s="41" t="s">
        <v>326</v>
      </c>
      <c r="L29" s="488">
        <f>L25-L28</f>
        <v>425084</v>
      </c>
      <c r="M29" s="736"/>
      <c r="N29" s="736"/>
      <c r="O29" s="736"/>
      <c r="P29" s="736"/>
      <c r="Q29" s="736"/>
      <c r="R29" s="736"/>
      <c r="S29" s="736"/>
      <c r="T29" s="736"/>
      <c r="U29" s="736"/>
      <c r="V29" s="736"/>
      <c r="W29" s="736"/>
      <c r="X29" s="736"/>
      <c r="Y29" s="735"/>
      <c r="Z29" s="735"/>
      <c r="AA29" s="735"/>
      <c r="AB29" s="735"/>
      <c r="AC29" s="735"/>
      <c r="AD29" s="735"/>
      <c r="AE29" s="735"/>
      <c r="AF29" s="735"/>
      <c r="AG29" s="735"/>
      <c r="AH29" s="735"/>
      <c r="AI29" s="735"/>
      <c r="AJ29" s="735"/>
      <c r="AK29" s="735"/>
      <c r="AL29" s="735"/>
      <c r="AM29" s="735"/>
      <c r="AN29" s="735"/>
      <c r="AO29" s="735"/>
      <c r="AP29" s="735"/>
      <c r="AQ29" s="735"/>
      <c r="AR29" s="735"/>
      <c r="AS29" s="735"/>
      <c r="AT29" s="735"/>
      <c r="AU29" s="735"/>
      <c r="AV29" s="735"/>
      <c r="AW29" s="735"/>
      <c r="AX29" s="735"/>
      <c r="AY29" s="735"/>
      <c r="AZ29" s="735"/>
    </row>
    <row r="30" spans="1:52" ht="15">
      <c r="A30" s="735"/>
      <c r="B30" s="37">
        <v>4</v>
      </c>
      <c r="C30" s="1213" t="s">
        <v>342</v>
      </c>
      <c r="D30" s="1213"/>
      <c r="E30" s="1213"/>
      <c r="F30" s="1213"/>
      <c r="G30" s="39"/>
      <c r="H30" s="497"/>
      <c r="I30" s="52"/>
      <c r="J30" s="42"/>
      <c r="K30" s="41"/>
      <c r="L30" s="43"/>
      <c r="M30" s="736"/>
      <c r="N30" s="736"/>
      <c r="O30" s="736"/>
      <c r="P30" s="736"/>
      <c r="Q30" s="736"/>
      <c r="R30" s="736"/>
      <c r="S30" s="736"/>
      <c r="T30" s="736"/>
      <c r="U30" s="736"/>
      <c r="V30" s="736"/>
      <c r="W30" s="736"/>
      <c r="X30" s="736"/>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5"/>
      <c r="AY30" s="735"/>
      <c r="AZ30" s="735"/>
    </row>
    <row r="31" spans="1:52" ht="15">
      <c r="A31" s="735"/>
      <c r="B31" s="37"/>
      <c r="C31" s="44" t="s">
        <v>328</v>
      </c>
      <c r="D31" s="516" t="s">
        <v>389</v>
      </c>
      <c r="E31" s="39"/>
      <c r="F31" s="56"/>
      <c r="G31" s="486" t="s">
        <v>326</v>
      </c>
      <c r="H31" s="491">
        <v>0</v>
      </c>
      <c r="I31" s="52"/>
      <c r="J31" s="42"/>
      <c r="K31" s="41"/>
      <c r="L31" s="43"/>
      <c r="M31" s="736"/>
      <c r="N31" s="736"/>
      <c r="O31" s="736"/>
      <c r="P31" s="736"/>
      <c r="Q31" s="736"/>
      <c r="R31" s="736"/>
      <c r="S31" s="736"/>
      <c r="T31" s="736"/>
      <c r="U31" s="736"/>
      <c r="V31" s="736"/>
      <c r="W31" s="736"/>
      <c r="X31" s="736"/>
      <c r="Y31" s="735"/>
      <c r="Z31" s="735"/>
      <c r="AA31" s="735"/>
      <c r="AB31" s="735"/>
      <c r="AC31" s="735"/>
      <c r="AD31" s="735"/>
      <c r="AE31" s="735"/>
      <c r="AF31" s="735"/>
      <c r="AG31" s="735"/>
      <c r="AH31" s="735"/>
      <c r="AI31" s="735"/>
      <c r="AJ31" s="735"/>
      <c r="AK31" s="735"/>
      <c r="AL31" s="735"/>
      <c r="AM31" s="735"/>
      <c r="AN31" s="735"/>
      <c r="AO31" s="735"/>
      <c r="AP31" s="735"/>
      <c r="AQ31" s="735"/>
      <c r="AR31" s="735"/>
      <c r="AS31" s="735"/>
      <c r="AT31" s="735"/>
      <c r="AU31" s="735"/>
      <c r="AV31" s="735"/>
      <c r="AW31" s="735"/>
      <c r="AX31" s="735"/>
      <c r="AY31" s="735"/>
      <c r="AZ31" s="735"/>
    </row>
    <row r="32" spans="1:52" ht="15">
      <c r="A32" s="735"/>
      <c r="B32" s="37"/>
      <c r="C32" s="44" t="s">
        <v>330</v>
      </c>
      <c r="D32" s="516" t="s">
        <v>390</v>
      </c>
      <c r="E32" s="39"/>
      <c r="F32" s="56"/>
      <c r="G32" s="486" t="s">
        <v>326</v>
      </c>
      <c r="H32" s="491">
        <f>IF('Annexure -I I'!K15="",0,'Annexure -I I'!K15)</f>
        <v>2400</v>
      </c>
      <c r="I32" s="52"/>
      <c r="J32" s="42"/>
      <c r="K32" s="41"/>
      <c r="L32" s="57"/>
      <c r="M32" s="736"/>
      <c r="N32" s="736"/>
      <c r="O32" s="736"/>
      <c r="P32" s="736"/>
      <c r="Q32" s="736"/>
      <c r="R32" s="736"/>
      <c r="S32" s="736"/>
      <c r="T32" s="736"/>
      <c r="U32" s="736"/>
      <c r="V32" s="736"/>
      <c r="W32" s="736"/>
      <c r="X32" s="736"/>
      <c r="Y32" s="735"/>
      <c r="Z32" s="735"/>
      <c r="AA32" s="735"/>
      <c r="AB32" s="735"/>
      <c r="AC32" s="735"/>
      <c r="AD32" s="735"/>
      <c r="AE32" s="735"/>
      <c r="AF32" s="735"/>
      <c r="AG32" s="735"/>
      <c r="AH32" s="735"/>
      <c r="AI32" s="735"/>
      <c r="AJ32" s="735"/>
      <c r="AK32" s="735"/>
      <c r="AL32" s="735"/>
      <c r="AM32" s="735"/>
      <c r="AN32" s="735"/>
      <c r="AO32" s="735"/>
      <c r="AP32" s="735"/>
      <c r="AQ32" s="735"/>
      <c r="AR32" s="735"/>
      <c r="AS32" s="735"/>
      <c r="AT32" s="735"/>
      <c r="AU32" s="735"/>
      <c r="AV32" s="735"/>
      <c r="AW32" s="735"/>
      <c r="AX32" s="735"/>
      <c r="AY32" s="735"/>
      <c r="AZ32" s="735"/>
    </row>
    <row r="33" spans="1:52" ht="15">
      <c r="A33" s="735"/>
      <c r="B33" s="37">
        <v>5</v>
      </c>
      <c r="C33" s="1201" t="s">
        <v>391</v>
      </c>
      <c r="D33" s="1201"/>
      <c r="E33" s="1201"/>
      <c r="F33" s="1201"/>
      <c r="G33" s="58"/>
      <c r="H33" s="59"/>
      <c r="I33" s="41"/>
      <c r="J33" s="42"/>
      <c r="K33" s="55" t="s">
        <v>326</v>
      </c>
      <c r="L33" s="490">
        <f>H31+H32</f>
        <v>2400</v>
      </c>
      <c r="M33" s="736"/>
      <c r="N33" s="736"/>
      <c r="O33" s="736"/>
      <c r="P33" s="736"/>
      <c r="Q33" s="736"/>
      <c r="R33" s="736"/>
      <c r="S33" s="736"/>
      <c r="T33" s="736"/>
      <c r="U33" s="736"/>
      <c r="V33" s="736"/>
      <c r="W33" s="736"/>
      <c r="X33" s="736"/>
      <c r="Y33" s="735"/>
      <c r="Z33" s="735"/>
      <c r="AA33" s="735"/>
      <c r="AB33" s="735"/>
      <c r="AC33" s="735"/>
      <c r="AD33" s="735"/>
      <c r="AE33" s="735"/>
      <c r="AF33" s="735"/>
      <c r="AG33" s="735"/>
      <c r="AH33" s="735"/>
      <c r="AI33" s="735"/>
      <c r="AJ33" s="735"/>
      <c r="AK33" s="735"/>
      <c r="AL33" s="735"/>
      <c r="AM33" s="735"/>
      <c r="AN33" s="735"/>
      <c r="AO33" s="735"/>
      <c r="AP33" s="735"/>
      <c r="AQ33" s="735"/>
      <c r="AR33" s="735"/>
      <c r="AS33" s="735"/>
      <c r="AT33" s="735"/>
      <c r="AU33" s="735"/>
      <c r="AV33" s="735"/>
      <c r="AW33" s="735"/>
      <c r="AX33" s="735"/>
      <c r="AY33" s="735"/>
      <c r="AZ33" s="735"/>
    </row>
    <row r="34" spans="1:52" ht="18" customHeight="1">
      <c r="A34" s="735"/>
      <c r="B34" s="37">
        <v>6</v>
      </c>
      <c r="C34" s="1200" t="s">
        <v>392</v>
      </c>
      <c r="D34" s="1200"/>
      <c r="E34" s="1200"/>
      <c r="F34" s="1200"/>
      <c r="G34" s="51"/>
      <c r="H34" s="60"/>
      <c r="I34" s="41"/>
      <c r="J34" s="42"/>
      <c r="K34" s="61" t="s">
        <v>326</v>
      </c>
      <c r="L34" s="489">
        <f>L29-L33</f>
        <v>422684</v>
      </c>
      <c r="M34" s="736"/>
      <c r="N34" s="736"/>
      <c r="O34" s="736"/>
      <c r="P34" s="736"/>
      <c r="Q34" s="736"/>
      <c r="R34" s="736"/>
      <c r="S34" s="736"/>
      <c r="T34" s="736"/>
      <c r="U34" s="736"/>
      <c r="V34" s="736"/>
      <c r="W34" s="736"/>
      <c r="X34" s="736"/>
      <c r="Y34" s="735"/>
      <c r="Z34" s="735"/>
      <c r="AA34" s="735"/>
      <c r="AB34" s="735"/>
      <c r="AC34" s="735"/>
      <c r="AD34" s="735"/>
      <c r="AE34" s="735"/>
      <c r="AF34" s="735"/>
      <c r="AG34" s="735"/>
      <c r="AH34" s="735"/>
      <c r="AI34" s="735"/>
      <c r="AJ34" s="735"/>
      <c r="AK34" s="735"/>
      <c r="AL34" s="735"/>
      <c r="AM34" s="735"/>
      <c r="AN34" s="735"/>
      <c r="AO34" s="735"/>
      <c r="AP34" s="735"/>
      <c r="AQ34" s="735"/>
      <c r="AR34" s="735"/>
      <c r="AS34" s="735"/>
      <c r="AT34" s="735"/>
      <c r="AU34" s="735"/>
      <c r="AV34" s="735"/>
      <c r="AW34" s="735"/>
      <c r="AX34" s="735"/>
      <c r="AY34" s="735"/>
      <c r="AZ34" s="735"/>
    </row>
    <row r="35" spans="1:52" ht="15">
      <c r="A35" s="735"/>
      <c r="B35" s="37">
        <v>7</v>
      </c>
      <c r="C35" s="803" t="s">
        <v>393</v>
      </c>
      <c r="D35" s="516"/>
      <c r="E35" s="516"/>
      <c r="F35" s="802"/>
      <c r="G35" s="51"/>
      <c r="H35" s="60"/>
      <c r="I35" s="807">
        <f>IF(DATA!BB$235=2,"",'Annexure -I I'!J16)</f>
      </c>
      <c r="J35" s="805">
        <f>'Annexure -I I'!K16</f>
      </c>
      <c r="K35" s="62" t="s">
        <v>326</v>
      </c>
      <c r="L35" s="63">
        <v>0</v>
      </c>
      <c r="M35" s="736"/>
      <c r="N35" s="736"/>
      <c r="O35" s="736"/>
      <c r="P35" s="736"/>
      <c r="Q35" s="736"/>
      <c r="R35" s="736"/>
      <c r="S35" s="736"/>
      <c r="T35" s="736"/>
      <c r="U35" s="736"/>
      <c r="V35" s="736"/>
      <c r="W35" s="736"/>
      <c r="X35" s="736"/>
      <c r="Y35" s="735"/>
      <c r="Z35" s="735"/>
      <c r="AA35" s="735"/>
      <c r="AB35" s="735"/>
      <c r="AC35" s="735"/>
      <c r="AD35" s="735"/>
      <c r="AE35" s="735"/>
      <c r="AF35" s="735"/>
      <c r="AG35" s="735"/>
      <c r="AH35" s="735"/>
      <c r="AI35" s="735"/>
      <c r="AJ35" s="735"/>
      <c r="AK35" s="735"/>
      <c r="AL35" s="735"/>
      <c r="AM35" s="735"/>
      <c r="AN35" s="735"/>
      <c r="AO35" s="735"/>
      <c r="AP35" s="735"/>
      <c r="AQ35" s="735"/>
      <c r="AR35" s="735"/>
      <c r="AS35" s="735"/>
      <c r="AT35" s="735"/>
      <c r="AU35" s="735"/>
      <c r="AV35" s="735"/>
      <c r="AW35" s="735"/>
      <c r="AX35" s="735"/>
      <c r="AY35" s="735"/>
      <c r="AZ35" s="735"/>
    </row>
    <row r="36" spans="1:52" ht="15">
      <c r="A36" s="735"/>
      <c r="B36" s="37"/>
      <c r="C36" s="767" t="s">
        <v>394</v>
      </c>
      <c r="D36" s="516"/>
      <c r="E36" s="516"/>
      <c r="F36" s="802"/>
      <c r="G36" s="51"/>
      <c r="H36" s="60"/>
      <c r="I36" s="807">
        <f>IF(DATA!BB$235=2,"",'Annexure -I I'!J17)</f>
      </c>
      <c r="J36" s="805">
        <f>'Annexure -I I'!K17</f>
      </c>
      <c r="K36" s="62" t="s">
        <v>326</v>
      </c>
      <c r="L36" s="63">
        <v>0</v>
      </c>
      <c r="M36" s="736"/>
      <c r="N36" s="736"/>
      <c r="O36" s="736"/>
      <c r="P36" s="736"/>
      <c r="Q36" s="736"/>
      <c r="R36" s="736"/>
      <c r="S36" s="736"/>
      <c r="T36" s="736"/>
      <c r="U36" s="736"/>
      <c r="V36" s="736"/>
      <c r="W36" s="736"/>
      <c r="X36" s="736"/>
      <c r="Y36" s="735"/>
      <c r="Z36" s="735"/>
      <c r="AA36" s="735"/>
      <c r="AB36" s="735"/>
      <c r="AC36" s="735"/>
      <c r="AD36" s="735"/>
      <c r="AE36" s="735"/>
      <c r="AF36" s="735"/>
      <c r="AG36" s="735"/>
      <c r="AH36" s="735"/>
      <c r="AI36" s="735"/>
      <c r="AJ36" s="735"/>
      <c r="AK36" s="735"/>
      <c r="AL36" s="735"/>
      <c r="AM36" s="735"/>
      <c r="AN36" s="735"/>
      <c r="AO36" s="735"/>
      <c r="AP36" s="735"/>
      <c r="AQ36" s="735"/>
      <c r="AR36" s="735"/>
      <c r="AS36" s="735"/>
      <c r="AT36" s="735"/>
      <c r="AU36" s="735"/>
      <c r="AV36" s="735"/>
      <c r="AW36" s="735"/>
      <c r="AX36" s="735"/>
      <c r="AY36" s="735"/>
      <c r="AZ36" s="735"/>
    </row>
    <row r="37" spans="1:52" ht="15">
      <c r="A37" s="735"/>
      <c r="B37" s="37"/>
      <c r="C37" s="767" t="s">
        <v>395</v>
      </c>
      <c r="D37" s="516"/>
      <c r="E37" s="516"/>
      <c r="F37" s="802"/>
      <c r="G37" s="51"/>
      <c r="H37" s="60"/>
      <c r="I37" s="807">
        <f>IF(DATA!BB$235=2,"",'Annexure -I I'!J18)</f>
      </c>
      <c r="J37" s="805">
        <f>'Annexure -I I'!K18</f>
      </c>
      <c r="K37" s="64" t="s">
        <v>326</v>
      </c>
      <c r="L37" s="808">
        <f>'Annexure -I I'!L19</f>
        <v>0</v>
      </c>
      <c r="M37" s="736"/>
      <c r="N37" s="736"/>
      <c r="O37" s="736"/>
      <c r="P37" s="736"/>
      <c r="Q37" s="736"/>
      <c r="R37" s="736"/>
      <c r="S37" s="736"/>
      <c r="T37" s="736"/>
      <c r="U37" s="736"/>
      <c r="V37" s="736"/>
      <c r="W37" s="736"/>
      <c r="X37" s="736"/>
      <c r="Y37" s="735"/>
      <c r="Z37" s="735"/>
      <c r="AA37" s="735"/>
      <c r="AB37" s="735"/>
      <c r="AC37" s="735"/>
      <c r="AD37" s="735"/>
      <c r="AE37" s="735"/>
      <c r="AF37" s="735"/>
      <c r="AG37" s="735"/>
      <c r="AH37" s="735"/>
      <c r="AI37" s="735"/>
      <c r="AJ37" s="735"/>
      <c r="AK37" s="735"/>
      <c r="AL37" s="735"/>
      <c r="AM37" s="735"/>
      <c r="AN37" s="735"/>
      <c r="AO37" s="735"/>
      <c r="AP37" s="735"/>
      <c r="AQ37" s="735"/>
      <c r="AR37" s="735"/>
      <c r="AS37" s="735"/>
      <c r="AT37" s="735"/>
      <c r="AU37" s="735"/>
      <c r="AV37" s="735"/>
      <c r="AW37" s="735"/>
      <c r="AX37" s="735"/>
      <c r="AY37" s="735"/>
      <c r="AZ37" s="735"/>
    </row>
    <row r="38" spans="1:52" ht="18.75" customHeight="1">
      <c r="A38" s="735"/>
      <c r="B38" s="37">
        <v>8</v>
      </c>
      <c r="C38" s="1201" t="s">
        <v>396</v>
      </c>
      <c r="D38" s="1201"/>
      <c r="E38" s="1201"/>
      <c r="F38" s="65"/>
      <c r="G38" s="51"/>
      <c r="H38" s="60"/>
      <c r="I38" s="807">
        <f>IF(DATA!BB$235=2,"",'Annexure -I I'!J19)</f>
      </c>
      <c r="J38" s="805">
        <f>'Annexure -I I'!K19</f>
      </c>
      <c r="K38" s="41" t="s">
        <v>326</v>
      </c>
      <c r="L38" s="488">
        <f>L34+L35+L36+L37</f>
        <v>422684</v>
      </c>
      <c r="M38" s="736"/>
      <c r="N38" s="736"/>
      <c r="O38" s="736"/>
      <c r="P38" s="736"/>
      <c r="Q38" s="736"/>
      <c r="R38" s="736"/>
      <c r="S38" s="736"/>
      <c r="T38" s="736"/>
      <c r="U38" s="736"/>
      <c r="V38" s="736"/>
      <c r="W38" s="736"/>
      <c r="X38" s="736"/>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row>
    <row r="39" spans="1:52" ht="15">
      <c r="A39" s="735"/>
      <c r="B39" s="37">
        <v>9</v>
      </c>
      <c r="C39" s="38" t="s">
        <v>397</v>
      </c>
      <c r="D39" s="67"/>
      <c r="E39" s="67"/>
      <c r="F39" s="804"/>
      <c r="G39" s="51"/>
      <c r="H39" s="60"/>
      <c r="I39" s="807">
        <f>IF(DATA!BB$235=2,"",'Annexure -I I'!J20)</f>
      </c>
      <c r="J39" s="806">
        <f>'Annexure -I I'!K20</f>
      </c>
      <c r="K39" s="41"/>
      <c r="L39" s="43"/>
      <c r="M39" s="736"/>
      <c r="N39" s="736"/>
      <c r="O39" s="736"/>
      <c r="P39" s="736"/>
      <c r="Q39" s="736"/>
      <c r="R39" s="736"/>
      <c r="S39" s="736"/>
      <c r="T39" s="736"/>
      <c r="U39" s="736"/>
      <c r="V39" s="736"/>
      <c r="W39" s="736"/>
      <c r="X39" s="736"/>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row>
    <row r="40" spans="1:52" ht="15">
      <c r="A40" s="735"/>
      <c r="B40" s="66" t="s">
        <v>398</v>
      </c>
      <c r="C40" s="1201" t="s">
        <v>399</v>
      </c>
      <c r="D40" s="1201"/>
      <c r="E40" s="1201"/>
      <c r="G40" s="1206" t="s">
        <v>301</v>
      </c>
      <c r="H40" s="1207"/>
      <c r="I40" s="1202" t="s">
        <v>400</v>
      </c>
      <c r="J40" s="1202"/>
      <c r="K40" s="68"/>
      <c r="L40" s="57"/>
      <c r="M40" s="736"/>
      <c r="N40" s="736"/>
      <c r="O40" s="736"/>
      <c r="P40" s="736"/>
      <c r="Q40" s="736"/>
      <c r="R40" s="736"/>
      <c r="S40" s="736"/>
      <c r="T40" s="736"/>
      <c r="U40" s="736"/>
      <c r="V40" s="736"/>
      <c r="W40" s="736"/>
      <c r="X40" s="736"/>
      <c r="Y40" s="735"/>
      <c r="Z40" s="735"/>
      <c r="AA40" s="735"/>
      <c r="AB40" s="735"/>
      <c r="AC40" s="735"/>
      <c r="AD40" s="735"/>
      <c r="AE40" s="735"/>
      <c r="AF40" s="735"/>
      <c r="AG40" s="735"/>
      <c r="AH40" s="735"/>
      <c r="AI40" s="735"/>
      <c r="AJ40" s="735"/>
      <c r="AK40" s="735"/>
      <c r="AL40" s="735"/>
      <c r="AM40" s="735"/>
      <c r="AN40" s="735"/>
      <c r="AO40" s="735"/>
      <c r="AP40" s="735"/>
      <c r="AQ40" s="735"/>
      <c r="AR40" s="735"/>
      <c r="AS40" s="735"/>
      <c r="AT40" s="735"/>
      <c r="AU40" s="735"/>
      <c r="AV40" s="735"/>
      <c r="AW40" s="735"/>
      <c r="AX40" s="735"/>
      <c r="AY40" s="735"/>
      <c r="AZ40" s="735"/>
    </row>
    <row r="41" spans="1:52" ht="15.75">
      <c r="A41" s="735"/>
      <c r="B41" s="37"/>
      <c r="C41" s="69" t="s">
        <v>328</v>
      </c>
      <c r="D41" s="523" t="s">
        <v>401</v>
      </c>
      <c r="E41" s="67"/>
      <c r="G41" s="1205" t="s">
        <v>373</v>
      </c>
      <c r="H41" s="1204"/>
      <c r="I41" s="1203" t="s">
        <v>373</v>
      </c>
      <c r="J41" s="1204"/>
      <c r="K41" s="68"/>
      <c r="L41" s="57"/>
      <c r="M41" s="736"/>
      <c r="N41" s="736"/>
      <c r="O41" s="736"/>
      <c r="P41" s="736"/>
      <c r="Q41" s="736"/>
      <c r="R41" s="736"/>
      <c r="S41" s="736"/>
      <c r="T41" s="736"/>
      <c r="U41" s="736"/>
      <c r="V41" s="736"/>
      <c r="W41" s="736"/>
      <c r="X41" s="736"/>
      <c r="Y41" s="735"/>
      <c r="Z41" s="735"/>
      <c r="AA41" s="735"/>
      <c r="AB41" s="735"/>
      <c r="AC41" s="735"/>
      <c r="AD41" s="735"/>
      <c r="AE41" s="735"/>
      <c r="AF41" s="735"/>
      <c r="AG41" s="735"/>
      <c r="AH41" s="735"/>
      <c r="AI41" s="735"/>
      <c r="AJ41" s="735"/>
      <c r="AK41" s="735"/>
      <c r="AL41" s="735"/>
      <c r="AM41" s="735"/>
      <c r="AN41" s="735"/>
      <c r="AO41" s="735"/>
      <c r="AP41" s="735"/>
      <c r="AQ41" s="735"/>
      <c r="AR41" s="735"/>
      <c r="AS41" s="735"/>
      <c r="AT41" s="735"/>
      <c r="AU41" s="735"/>
      <c r="AV41" s="735"/>
      <c r="AW41" s="735"/>
      <c r="AX41" s="735"/>
      <c r="AY41" s="735"/>
      <c r="AZ41" s="735"/>
    </row>
    <row r="42" spans="1:52" ht="15">
      <c r="A42" s="735"/>
      <c r="B42" s="37"/>
      <c r="C42" s="517" t="s">
        <v>402</v>
      </c>
      <c r="D42" s="518" t="str">
        <f>Bill!Q4</f>
        <v>PF</v>
      </c>
      <c r="E42" s="518"/>
      <c r="F42" s="519"/>
      <c r="G42" s="484" t="s">
        <v>326</v>
      </c>
      <c r="H42" s="54">
        <f>'Annexure -I I'!K31</f>
        <v>20963</v>
      </c>
      <c r="I42" s="70" t="s">
        <v>326</v>
      </c>
      <c r="J42" s="71">
        <f>IF(H42&lt;=M$43,H42,IF(H42&gt;=M$43,M$43))</f>
        <v>20963</v>
      </c>
      <c r="K42" s="41"/>
      <c r="L42" s="57"/>
      <c r="M42" s="736"/>
      <c r="N42" s="736"/>
      <c r="O42" s="736"/>
      <c r="P42" s="736"/>
      <c r="Q42" s="736"/>
      <c r="R42" s="736"/>
      <c r="S42" s="736"/>
      <c r="T42" s="736"/>
      <c r="U42" s="736"/>
      <c r="V42" s="736"/>
      <c r="W42" s="736"/>
      <c r="X42" s="736"/>
      <c r="Y42" s="735"/>
      <c r="Z42" s="735"/>
      <c r="AA42" s="735"/>
      <c r="AB42" s="735"/>
      <c r="AC42" s="735"/>
      <c r="AD42" s="735"/>
      <c r="AE42" s="735"/>
      <c r="AF42" s="735"/>
      <c r="AG42" s="735"/>
      <c r="AH42" s="735"/>
      <c r="AI42" s="735"/>
      <c r="AJ42" s="735"/>
      <c r="AK42" s="735"/>
      <c r="AL42" s="735"/>
      <c r="AM42" s="735"/>
      <c r="AN42" s="735"/>
      <c r="AO42" s="735"/>
      <c r="AP42" s="735"/>
      <c r="AQ42" s="735"/>
      <c r="AR42" s="735"/>
      <c r="AS42" s="735"/>
      <c r="AT42" s="735"/>
      <c r="AU42" s="735"/>
      <c r="AV42" s="735"/>
      <c r="AW42" s="735"/>
      <c r="AX42" s="735"/>
      <c r="AY42" s="735"/>
      <c r="AZ42" s="735"/>
    </row>
    <row r="43" spans="1:52" ht="15">
      <c r="A43" s="735"/>
      <c r="B43" s="37"/>
      <c r="C43" s="517" t="s">
        <v>403</v>
      </c>
      <c r="D43" s="518" t="s">
        <v>404</v>
      </c>
      <c r="E43" s="518"/>
      <c r="F43" s="519"/>
      <c r="G43" s="484" t="s">
        <v>326</v>
      </c>
      <c r="H43" s="54">
        <f>Bill!R27</f>
        <v>12000</v>
      </c>
      <c r="I43" s="70" t="s">
        <v>326</v>
      </c>
      <c r="J43" s="71">
        <f aca="true" t="shared" si="0" ref="J43:J49">IF(H43&lt;=M$43,H43,IF(H43&gt;=M$43,M$43))</f>
        <v>12000</v>
      </c>
      <c r="K43" s="41"/>
      <c r="L43" s="57"/>
      <c r="M43" s="737">
        <v>150000</v>
      </c>
      <c r="N43" s="736"/>
      <c r="O43" s="736"/>
      <c r="P43" s="736"/>
      <c r="Q43" s="736"/>
      <c r="R43" s="736"/>
      <c r="S43" s="736"/>
      <c r="T43" s="736"/>
      <c r="U43" s="736"/>
      <c r="V43" s="736"/>
      <c r="W43" s="736"/>
      <c r="X43" s="736"/>
      <c r="Y43" s="735"/>
      <c r="Z43" s="735"/>
      <c r="AA43" s="735"/>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5"/>
      <c r="AX43" s="735"/>
      <c r="AY43" s="735"/>
      <c r="AZ43" s="735"/>
    </row>
    <row r="44" spans="1:52" ht="15">
      <c r="A44" s="735"/>
      <c r="B44" s="37"/>
      <c r="C44" s="517" t="s">
        <v>405</v>
      </c>
      <c r="D44" s="518" t="s">
        <v>406</v>
      </c>
      <c r="E44" s="518"/>
      <c r="F44" s="519"/>
      <c r="G44" s="484" t="s">
        <v>326</v>
      </c>
      <c r="H44" s="54">
        <f>Bill!T27</f>
        <v>720</v>
      </c>
      <c r="I44" s="70" t="s">
        <v>326</v>
      </c>
      <c r="J44" s="71">
        <f t="shared" si="0"/>
        <v>720</v>
      </c>
      <c r="K44" s="41"/>
      <c r="L44" s="57"/>
      <c r="M44" s="736"/>
      <c r="N44" s="736"/>
      <c r="O44" s="736"/>
      <c r="P44" s="736"/>
      <c r="Q44" s="736"/>
      <c r="R44" s="736"/>
      <c r="S44" s="736"/>
      <c r="T44" s="736"/>
      <c r="U44" s="736"/>
      <c r="V44" s="736"/>
      <c r="W44" s="736"/>
      <c r="X44" s="736"/>
      <c r="Y44" s="735"/>
      <c r="Z44" s="735"/>
      <c r="AA44" s="735"/>
      <c r="AB44" s="735"/>
      <c r="AC44" s="735"/>
      <c r="AD44" s="735"/>
      <c r="AE44" s="735"/>
      <c r="AF44" s="735"/>
      <c r="AG44" s="735"/>
      <c r="AH44" s="735"/>
      <c r="AI44" s="735"/>
      <c r="AJ44" s="735"/>
      <c r="AK44" s="735"/>
      <c r="AL44" s="735"/>
      <c r="AM44" s="735"/>
      <c r="AN44" s="735"/>
      <c r="AO44" s="735"/>
      <c r="AP44" s="735"/>
      <c r="AQ44" s="735"/>
      <c r="AR44" s="735"/>
      <c r="AS44" s="735"/>
      <c r="AT44" s="735"/>
      <c r="AU44" s="735"/>
      <c r="AV44" s="735"/>
      <c r="AW44" s="735"/>
      <c r="AX44" s="735"/>
      <c r="AY44" s="735"/>
      <c r="AZ44" s="735"/>
    </row>
    <row r="45" spans="1:52" ht="15" customHeight="1">
      <c r="A45" s="735"/>
      <c r="B45" s="37"/>
      <c r="C45" s="520" t="s">
        <v>407</v>
      </c>
      <c r="D45" s="1208" t="str">
        <f>'Annexure -I I'!D34</f>
        <v>LIC Policies Monthly Premium in Salary </v>
      </c>
      <c r="E45" s="1208"/>
      <c r="F45" s="1209"/>
      <c r="G45" s="484" t="s">
        <v>326</v>
      </c>
      <c r="H45" s="54">
        <f>'Annexure -I I'!K34</f>
        <v>0</v>
      </c>
      <c r="I45" s="70" t="s">
        <v>326</v>
      </c>
      <c r="J45" s="71">
        <f t="shared" si="0"/>
        <v>0</v>
      </c>
      <c r="K45" s="41"/>
      <c r="L45" s="57"/>
      <c r="M45" s="736"/>
      <c r="N45" s="736"/>
      <c r="O45" s="736"/>
      <c r="P45" s="736"/>
      <c r="Q45" s="736"/>
      <c r="R45" s="736"/>
      <c r="S45" s="736"/>
      <c r="T45" s="736"/>
      <c r="U45" s="736"/>
      <c r="V45" s="736"/>
      <c r="W45" s="736"/>
      <c r="X45" s="736"/>
      <c r="Y45" s="735"/>
      <c r="Z45" s="735"/>
      <c r="AA45" s="735"/>
      <c r="AB45" s="735"/>
      <c r="AC45" s="735"/>
      <c r="AD45" s="735"/>
      <c r="AE45" s="735"/>
      <c r="AF45" s="735"/>
      <c r="AG45" s="735"/>
      <c r="AH45" s="735"/>
      <c r="AI45" s="735"/>
      <c r="AJ45" s="735"/>
      <c r="AK45" s="735"/>
      <c r="AL45" s="735"/>
      <c r="AM45" s="735"/>
      <c r="AN45" s="735"/>
      <c r="AO45" s="735"/>
      <c r="AP45" s="735"/>
      <c r="AQ45" s="735"/>
      <c r="AR45" s="735"/>
      <c r="AS45" s="735"/>
      <c r="AT45" s="735"/>
      <c r="AU45" s="735"/>
      <c r="AV45" s="735"/>
      <c r="AW45" s="735"/>
      <c r="AX45" s="735"/>
      <c r="AY45" s="735"/>
      <c r="AZ45" s="735"/>
    </row>
    <row r="46" spans="1:52" ht="15">
      <c r="A46" s="735"/>
      <c r="B46" s="37"/>
      <c r="C46" s="520" t="s">
        <v>408</v>
      </c>
      <c r="D46" s="1198" t="str">
        <f>'Annexure -I I'!D35</f>
        <v>LIC Policies premium - Yearly</v>
      </c>
      <c r="E46" s="1198"/>
      <c r="F46" s="519"/>
      <c r="G46" s="484" t="s">
        <v>326</v>
      </c>
      <c r="H46" s="54">
        <f>DATA!G25</f>
        <v>0</v>
      </c>
      <c r="I46" s="70" t="s">
        <v>326</v>
      </c>
      <c r="J46" s="71">
        <f t="shared" si="0"/>
        <v>0</v>
      </c>
      <c r="K46" s="41"/>
      <c r="L46" s="57"/>
      <c r="M46" s="736"/>
      <c r="N46" s="736"/>
      <c r="O46" s="736"/>
      <c r="P46" s="736"/>
      <c r="Q46" s="736"/>
      <c r="R46" s="736"/>
      <c r="S46" s="736"/>
      <c r="T46" s="736"/>
      <c r="U46" s="736"/>
      <c r="V46" s="736"/>
      <c r="W46" s="736"/>
      <c r="X46" s="736"/>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735"/>
      <c r="AU46" s="735"/>
      <c r="AV46" s="735"/>
      <c r="AW46" s="735"/>
      <c r="AX46" s="735"/>
      <c r="AY46" s="735"/>
      <c r="AZ46" s="735"/>
    </row>
    <row r="47" spans="1:52" ht="15">
      <c r="A47" s="735"/>
      <c r="B47" s="37"/>
      <c r="C47" s="520" t="s">
        <v>409</v>
      </c>
      <c r="D47" s="1198" t="str">
        <f>'Annexure -I I'!D36</f>
        <v>Repayment of Home Loan installments</v>
      </c>
      <c r="E47" s="1198"/>
      <c r="F47" s="519"/>
      <c r="G47" s="484" t="s">
        <v>326</v>
      </c>
      <c r="H47" s="54">
        <f>DATA!G26</f>
        <v>0</v>
      </c>
      <c r="I47" s="70" t="s">
        <v>326</v>
      </c>
      <c r="J47" s="71">
        <f t="shared" si="0"/>
        <v>0</v>
      </c>
      <c r="K47" s="41"/>
      <c r="L47" s="57"/>
      <c r="M47" s="736"/>
      <c r="N47" s="736"/>
      <c r="O47" s="736"/>
      <c r="P47" s="736"/>
      <c r="Q47" s="736"/>
      <c r="R47" s="736"/>
      <c r="S47" s="736"/>
      <c r="T47" s="736"/>
      <c r="U47" s="736"/>
      <c r="V47" s="736"/>
      <c r="W47" s="736"/>
      <c r="X47" s="736"/>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row>
    <row r="48" spans="1:52" ht="15">
      <c r="A48" s="735"/>
      <c r="B48" s="37"/>
      <c r="C48" s="520" t="s">
        <v>410</v>
      </c>
      <c r="D48" s="1198" t="str">
        <f>'Annexure -I I'!D37</f>
        <v>Tuition Fee for Two children</v>
      </c>
      <c r="E48" s="1198"/>
      <c r="F48" s="519"/>
      <c r="G48" s="484" t="s">
        <v>326</v>
      </c>
      <c r="H48" s="54">
        <f>DATA!G27</f>
        <v>0</v>
      </c>
      <c r="I48" s="70" t="s">
        <v>326</v>
      </c>
      <c r="J48" s="71">
        <f t="shared" si="0"/>
        <v>0</v>
      </c>
      <c r="K48" s="41"/>
      <c r="L48" s="57"/>
      <c r="M48" s="736"/>
      <c r="N48" s="736"/>
      <c r="O48" s="736"/>
      <c r="P48" s="736"/>
      <c r="Q48" s="736"/>
      <c r="R48" s="736"/>
      <c r="S48" s="736"/>
      <c r="T48" s="736"/>
      <c r="U48" s="736"/>
      <c r="V48" s="736"/>
      <c r="W48" s="736"/>
      <c r="X48" s="736"/>
      <c r="Y48" s="735"/>
      <c r="Z48" s="735"/>
      <c r="AA48" s="735"/>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735"/>
      <c r="AY48" s="735"/>
      <c r="AZ48" s="735"/>
    </row>
    <row r="49" spans="1:52" ht="15">
      <c r="A49" s="735"/>
      <c r="B49" s="37"/>
      <c r="C49" s="521" t="s">
        <v>411</v>
      </c>
      <c r="D49" s="1198" t="str">
        <f>'Annexure -I I'!D38</f>
        <v>PLI</v>
      </c>
      <c r="E49" s="1198"/>
      <c r="F49" s="519"/>
      <c r="G49" s="484" t="s">
        <v>326</v>
      </c>
      <c r="H49" s="54">
        <f>DATA!G28</f>
        <v>0</v>
      </c>
      <c r="I49" s="70" t="s">
        <v>326</v>
      </c>
      <c r="J49" s="71">
        <f t="shared" si="0"/>
        <v>0</v>
      </c>
      <c r="K49" s="52"/>
      <c r="L49" s="57"/>
      <c r="M49" s="736"/>
      <c r="N49" s="736"/>
      <c r="O49" s="736"/>
      <c r="P49" s="736"/>
      <c r="Q49" s="736"/>
      <c r="R49" s="736"/>
      <c r="S49" s="736"/>
      <c r="T49" s="736"/>
      <c r="U49" s="736"/>
      <c r="V49" s="736"/>
      <c r="W49" s="736"/>
      <c r="X49" s="736"/>
      <c r="Y49" s="735"/>
      <c r="Z49" s="735"/>
      <c r="AA49" s="735"/>
      <c r="AB49" s="735"/>
      <c r="AC49" s="735"/>
      <c r="AD49" s="735"/>
      <c r="AE49" s="735"/>
      <c r="AF49" s="735"/>
      <c r="AG49" s="735"/>
      <c r="AH49" s="735"/>
      <c r="AI49" s="735"/>
      <c r="AJ49" s="735"/>
      <c r="AK49" s="735"/>
      <c r="AL49" s="735"/>
      <c r="AM49" s="735"/>
      <c r="AN49" s="735"/>
      <c r="AO49" s="735"/>
      <c r="AP49" s="735"/>
      <c r="AQ49" s="735"/>
      <c r="AR49" s="735"/>
      <c r="AS49" s="735"/>
      <c r="AT49" s="735"/>
      <c r="AU49" s="735"/>
      <c r="AV49" s="735"/>
      <c r="AW49" s="735"/>
      <c r="AX49" s="735"/>
      <c r="AY49" s="735"/>
      <c r="AZ49" s="735"/>
    </row>
    <row r="50" spans="1:52" ht="15">
      <c r="A50" s="735"/>
      <c r="B50" s="37"/>
      <c r="C50" s="520" t="s">
        <v>412</v>
      </c>
      <c r="D50" s="1198" t="str">
        <f>DATA!C29</f>
        <v>Rajiv Gandhi Equity Saving Scheem</v>
      </c>
      <c r="E50" s="1198"/>
      <c r="F50" s="519"/>
      <c r="G50" s="484" t="s">
        <v>326</v>
      </c>
      <c r="H50" s="54">
        <f>DATA!G29</f>
        <v>0</v>
      </c>
      <c r="I50" s="70" t="s">
        <v>326</v>
      </c>
      <c r="J50" s="71">
        <f>DATA!BT265</f>
        <v>0</v>
      </c>
      <c r="K50" s="52"/>
      <c r="L50" s="57"/>
      <c r="M50" s="736"/>
      <c r="N50" s="736"/>
      <c r="O50" s="736"/>
      <c r="P50" s="736"/>
      <c r="Q50" s="736"/>
      <c r="R50" s="736"/>
      <c r="S50" s="736"/>
      <c r="T50" s="736"/>
      <c r="U50" s="736"/>
      <c r="V50" s="736"/>
      <c r="W50" s="736"/>
      <c r="X50" s="736"/>
      <c r="Y50" s="735"/>
      <c r="Z50" s="735"/>
      <c r="AA50" s="735"/>
      <c r="AB50" s="735"/>
      <c r="AC50" s="735"/>
      <c r="AD50" s="735"/>
      <c r="AE50" s="735"/>
      <c r="AF50" s="735"/>
      <c r="AG50" s="735"/>
      <c r="AH50" s="735"/>
      <c r="AI50" s="735"/>
      <c r="AJ50" s="735"/>
      <c r="AK50" s="735"/>
      <c r="AL50" s="735"/>
      <c r="AM50" s="735"/>
      <c r="AN50" s="735"/>
      <c r="AO50" s="735"/>
      <c r="AP50" s="735"/>
      <c r="AQ50" s="735"/>
      <c r="AR50" s="735"/>
      <c r="AS50" s="735"/>
      <c r="AT50" s="735"/>
      <c r="AU50" s="735"/>
      <c r="AV50" s="735"/>
      <c r="AW50" s="735"/>
      <c r="AX50" s="735"/>
      <c r="AY50" s="735"/>
      <c r="AZ50" s="735"/>
    </row>
    <row r="51" spans="1:52" ht="15">
      <c r="A51" s="735"/>
      <c r="B51" s="37"/>
      <c r="C51" s="522" t="s">
        <v>562</v>
      </c>
      <c r="D51" s="1198" t="str">
        <f>DATA!C30</f>
        <v>Any Other Entry</v>
      </c>
      <c r="E51" s="1198"/>
      <c r="F51" s="519"/>
      <c r="G51" s="484" t="s">
        <v>326</v>
      </c>
      <c r="H51" s="54">
        <f>DATA!G30</f>
        <v>0</v>
      </c>
      <c r="I51" s="70" t="s">
        <v>326</v>
      </c>
      <c r="J51" s="73">
        <f>H51</f>
        <v>0</v>
      </c>
      <c r="K51" s="52"/>
      <c r="L51" s="57"/>
      <c r="M51" s="736"/>
      <c r="N51" s="736"/>
      <c r="O51" s="736"/>
      <c r="P51" s="736"/>
      <c r="Q51" s="736"/>
      <c r="R51" s="736"/>
      <c r="S51" s="736"/>
      <c r="T51" s="736"/>
      <c r="U51" s="736"/>
      <c r="V51" s="736"/>
      <c r="W51" s="736"/>
      <c r="X51" s="736"/>
      <c r="Y51" s="735"/>
      <c r="Z51" s="735"/>
      <c r="AA51" s="735"/>
      <c r="AB51" s="735"/>
      <c r="AC51" s="735"/>
      <c r="AD51" s="735"/>
      <c r="AE51" s="735"/>
      <c r="AF51" s="735"/>
      <c r="AG51" s="735"/>
      <c r="AH51" s="735"/>
      <c r="AI51" s="735"/>
      <c r="AJ51" s="735"/>
      <c r="AK51" s="735"/>
      <c r="AL51" s="735"/>
      <c r="AM51" s="735"/>
      <c r="AN51" s="735"/>
      <c r="AO51" s="735"/>
      <c r="AP51" s="735"/>
      <c r="AQ51" s="735"/>
      <c r="AR51" s="735"/>
      <c r="AS51" s="735"/>
      <c r="AT51" s="735"/>
      <c r="AU51" s="735"/>
      <c r="AV51" s="735"/>
      <c r="AW51" s="735"/>
      <c r="AX51" s="735"/>
      <c r="AY51" s="735"/>
      <c r="AZ51" s="735"/>
    </row>
    <row r="52" spans="1:52" ht="15">
      <c r="A52" s="735"/>
      <c r="B52" s="37"/>
      <c r="C52" s="72"/>
      <c r="D52" s="1199"/>
      <c r="E52" s="1199"/>
      <c r="G52" s="485" t="s">
        <v>326</v>
      </c>
      <c r="H52" s="74">
        <f>SUM(H42:H51)</f>
        <v>33683</v>
      </c>
      <c r="I52" s="75" t="s">
        <v>326</v>
      </c>
      <c r="J52" s="146">
        <f>IF((SUM(J42:J49)+J51)&lt;=DATA!BB209,(SUM(J42:J49)+J51),IF((SUM(J42:J49)+J51)&gt;=DATA!BB209,DATA!BB209))+J50</f>
        <v>33683</v>
      </c>
      <c r="K52" s="55"/>
      <c r="L52" s="487"/>
      <c r="M52" s="736"/>
      <c r="N52" s="736"/>
      <c r="O52" s="736"/>
      <c r="P52" s="736"/>
      <c r="Q52" s="736"/>
      <c r="R52" s="736"/>
      <c r="S52" s="736"/>
      <c r="T52" s="736"/>
      <c r="U52" s="736"/>
      <c r="V52" s="736"/>
      <c r="W52" s="736"/>
      <c r="X52" s="736"/>
      <c r="Y52" s="735"/>
      <c r="Z52" s="735"/>
      <c r="AA52" s="735"/>
      <c r="AB52" s="735"/>
      <c r="AC52" s="735"/>
      <c r="AD52" s="735"/>
      <c r="AE52" s="735"/>
      <c r="AF52" s="735"/>
      <c r="AG52" s="735"/>
      <c r="AH52" s="735"/>
      <c r="AI52" s="735"/>
      <c r="AJ52" s="735"/>
      <c r="AK52" s="735"/>
      <c r="AL52" s="735"/>
      <c r="AM52" s="735"/>
      <c r="AN52" s="735"/>
      <c r="AO52" s="735"/>
      <c r="AP52" s="735"/>
      <c r="AQ52" s="735"/>
      <c r="AR52" s="735"/>
      <c r="AS52" s="735"/>
      <c r="AT52" s="735"/>
      <c r="AU52" s="735"/>
      <c r="AV52" s="735"/>
      <c r="AW52" s="735"/>
      <c r="AX52" s="735"/>
      <c r="AY52" s="735"/>
      <c r="AZ52" s="735"/>
    </row>
    <row r="53" spans="1:52" ht="12.75" customHeight="1" thickBot="1">
      <c r="A53" s="735"/>
      <c r="B53" s="37"/>
      <c r="C53" s="52"/>
      <c r="D53" s="76"/>
      <c r="E53" s="76"/>
      <c r="F53" s="77"/>
      <c r="G53" s="1195" t="s">
        <v>413</v>
      </c>
      <c r="H53" s="1195"/>
      <c r="I53" s="1195"/>
      <c r="J53" s="1195"/>
      <c r="K53" s="1196" t="s">
        <v>326</v>
      </c>
      <c r="L53" s="1197">
        <f>J52</f>
        <v>33683</v>
      </c>
      <c r="M53" s="736"/>
      <c r="N53" s="736"/>
      <c r="O53" s="736"/>
      <c r="P53" s="736"/>
      <c r="Q53" s="736"/>
      <c r="R53" s="736"/>
      <c r="S53" s="736"/>
      <c r="T53" s="736"/>
      <c r="U53" s="736"/>
      <c r="V53" s="736"/>
      <c r="W53" s="736"/>
      <c r="X53" s="736"/>
      <c r="Y53" s="735"/>
      <c r="Z53" s="735"/>
      <c r="AA53" s="735"/>
      <c r="AB53" s="735"/>
      <c r="AC53" s="735"/>
      <c r="AD53" s="735"/>
      <c r="AE53" s="735"/>
      <c r="AF53" s="735"/>
      <c r="AG53" s="735"/>
      <c r="AH53" s="735"/>
      <c r="AI53" s="735"/>
      <c r="AJ53" s="735"/>
      <c r="AK53" s="735"/>
      <c r="AL53" s="735"/>
      <c r="AM53" s="735"/>
      <c r="AN53" s="735"/>
      <c r="AO53" s="735"/>
      <c r="AP53" s="735"/>
      <c r="AQ53" s="735"/>
      <c r="AR53" s="735"/>
      <c r="AS53" s="735"/>
      <c r="AT53" s="735"/>
      <c r="AU53" s="735"/>
      <c r="AV53" s="735"/>
      <c r="AW53" s="735"/>
      <c r="AX53" s="735"/>
      <c r="AY53" s="735"/>
      <c r="AZ53" s="735"/>
    </row>
    <row r="54" spans="1:52" ht="15.75" thickBot="1">
      <c r="A54" s="735"/>
      <c r="B54" s="78"/>
      <c r="C54" s="79"/>
      <c r="D54" s="80"/>
      <c r="E54" s="80"/>
      <c r="F54" s="80"/>
      <c r="G54" s="1195"/>
      <c r="H54" s="1195"/>
      <c r="I54" s="1195"/>
      <c r="J54" s="1195"/>
      <c r="K54" s="1196"/>
      <c r="L54" s="1197"/>
      <c r="M54" s="736"/>
      <c r="N54" s="736"/>
      <c r="O54" s="736"/>
      <c r="P54" s="736"/>
      <c r="Q54" s="736"/>
      <c r="R54" s="736"/>
      <c r="S54" s="736"/>
      <c r="T54" s="736"/>
      <c r="U54" s="736"/>
      <c r="V54" s="736"/>
      <c r="W54" s="736"/>
      <c r="X54" s="736"/>
      <c r="Y54" s="735"/>
      <c r="Z54" s="735"/>
      <c r="AA54" s="735"/>
      <c r="AB54" s="735"/>
      <c r="AC54" s="735"/>
      <c r="AD54" s="735"/>
      <c r="AE54" s="735"/>
      <c r="AF54" s="735"/>
      <c r="AG54" s="735"/>
      <c r="AH54" s="735"/>
      <c r="AI54" s="735"/>
      <c r="AJ54" s="735"/>
      <c r="AK54" s="735"/>
      <c r="AL54" s="735"/>
      <c r="AM54" s="735"/>
      <c r="AN54" s="735"/>
      <c r="AO54" s="735"/>
      <c r="AP54" s="735"/>
      <c r="AQ54" s="735"/>
      <c r="AR54" s="735"/>
      <c r="AS54" s="735"/>
      <c r="AT54" s="735"/>
      <c r="AU54" s="735"/>
      <c r="AV54" s="735"/>
      <c r="AW54" s="735"/>
      <c r="AX54" s="735"/>
      <c r="AY54" s="735"/>
      <c r="AZ54" s="735"/>
    </row>
    <row r="55" spans="1:52" ht="15">
      <c r="A55" s="735"/>
      <c r="B55" s="734" t="s">
        <v>793</v>
      </c>
      <c r="C55"/>
      <c r="D55"/>
      <c r="E55"/>
      <c r="F55"/>
      <c r="G55"/>
      <c r="H55"/>
      <c r="I55"/>
      <c r="J55"/>
      <c r="K55"/>
      <c r="L55"/>
      <c r="M55" s="736"/>
      <c r="N55" s="736"/>
      <c r="O55" s="736"/>
      <c r="P55" s="736"/>
      <c r="Q55" s="736"/>
      <c r="R55" s="736"/>
      <c r="S55" s="736"/>
      <c r="T55" s="736"/>
      <c r="U55" s="736"/>
      <c r="V55" s="736"/>
      <c r="W55" s="736"/>
      <c r="X55" s="736"/>
      <c r="Y55" s="735"/>
      <c r="Z55" s="735"/>
      <c r="AA55" s="735"/>
      <c r="AB55" s="735"/>
      <c r="AC55" s="735"/>
      <c r="AD55" s="735"/>
      <c r="AE55" s="735"/>
      <c r="AF55" s="735"/>
      <c r="AG55" s="735"/>
      <c r="AH55" s="735"/>
      <c r="AI55" s="735"/>
      <c r="AJ55" s="735"/>
      <c r="AK55" s="735"/>
      <c r="AL55" s="735"/>
      <c r="AM55" s="735"/>
      <c r="AN55" s="735"/>
      <c r="AO55" s="735"/>
      <c r="AP55" s="735"/>
      <c r="AQ55" s="735"/>
      <c r="AR55" s="735"/>
      <c r="AS55" s="735"/>
      <c r="AT55" s="735"/>
      <c r="AU55" s="735"/>
      <c r="AV55" s="735"/>
      <c r="AW55" s="735"/>
      <c r="AX55" s="735"/>
      <c r="AY55" s="735"/>
      <c r="AZ55" s="735"/>
    </row>
    <row r="56" spans="1:52" ht="15">
      <c r="A56" s="735"/>
      <c r="B56" s="736"/>
      <c r="C56" s="736"/>
      <c r="D56" s="736"/>
      <c r="E56" s="736"/>
      <c r="F56" s="736"/>
      <c r="G56" s="736"/>
      <c r="H56" s="736"/>
      <c r="I56" s="736"/>
      <c r="J56" s="736"/>
      <c r="K56" s="736"/>
      <c r="L56" s="736"/>
      <c r="M56" s="736"/>
      <c r="N56" s="736"/>
      <c r="O56" s="736"/>
      <c r="P56" s="736"/>
      <c r="Q56" s="736"/>
      <c r="R56" s="736"/>
      <c r="S56" s="736"/>
      <c r="T56" s="736"/>
      <c r="U56" s="736"/>
      <c r="V56" s="736"/>
      <c r="W56" s="736"/>
      <c r="X56" s="736"/>
      <c r="Y56" s="735"/>
      <c r="Z56" s="735"/>
      <c r="AA56" s="735"/>
      <c r="AB56" s="735"/>
      <c r="AC56" s="735"/>
      <c r="AD56" s="735"/>
      <c r="AE56" s="735"/>
      <c r="AF56" s="735"/>
      <c r="AG56" s="735"/>
      <c r="AH56" s="735"/>
      <c r="AI56" s="735"/>
      <c r="AJ56" s="735"/>
      <c r="AK56" s="735"/>
      <c r="AL56" s="735"/>
      <c r="AM56" s="735"/>
      <c r="AN56" s="735"/>
      <c r="AO56" s="735"/>
      <c r="AP56" s="735"/>
      <c r="AQ56" s="735"/>
      <c r="AR56" s="735"/>
      <c r="AS56" s="735"/>
      <c r="AT56" s="735"/>
      <c r="AU56" s="735"/>
      <c r="AV56" s="735"/>
      <c r="AW56" s="735"/>
      <c r="AX56" s="735"/>
      <c r="AY56" s="735"/>
      <c r="AZ56" s="735"/>
    </row>
    <row r="57" spans="1:52" ht="15">
      <c r="A57" s="735"/>
      <c r="B57" s="736"/>
      <c r="C57" s="736"/>
      <c r="D57" s="736"/>
      <c r="E57" s="736"/>
      <c r="F57" s="736"/>
      <c r="G57" s="736"/>
      <c r="H57" s="736"/>
      <c r="I57" s="736"/>
      <c r="J57" s="736"/>
      <c r="K57" s="736"/>
      <c r="L57" s="736"/>
      <c r="M57" s="736"/>
      <c r="N57" s="736"/>
      <c r="O57" s="736"/>
      <c r="P57" s="736"/>
      <c r="Q57" s="736"/>
      <c r="R57" s="736"/>
      <c r="S57" s="736"/>
      <c r="T57" s="736"/>
      <c r="U57" s="736"/>
      <c r="V57" s="736"/>
      <c r="W57" s="736"/>
      <c r="X57" s="736"/>
      <c r="Y57" s="735"/>
      <c r="Z57" s="735"/>
      <c r="AA57" s="735"/>
      <c r="AB57" s="735"/>
      <c r="AC57" s="735"/>
      <c r="AD57" s="735"/>
      <c r="AE57" s="735"/>
      <c r="AF57" s="735"/>
      <c r="AG57" s="735"/>
      <c r="AH57" s="735"/>
      <c r="AI57" s="735"/>
      <c r="AJ57" s="735"/>
      <c r="AK57" s="735"/>
      <c r="AL57" s="735"/>
      <c r="AM57" s="735"/>
      <c r="AN57" s="735"/>
      <c r="AO57" s="735"/>
      <c r="AP57" s="735"/>
      <c r="AQ57" s="735"/>
      <c r="AR57" s="735"/>
      <c r="AS57" s="735"/>
      <c r="AT57" s="735"/>
      <c r="AU57" s="735"/>
      <c r="AV57" s="735"/>
      <c r="AW57" s="735"/>
      <c r="AX57" s="735"/>
      <c r="AY57" s="735"/>
      <c r="AZ57" s="735"/>
    </row>
    <row r="58" spans="1:52" ht="15">
      <c r="A58" s="735"/>
      <c r="B58" s="736"/>
      <c r="C58" s="736"/>
      <c r="D58" s="736"/>
      <c r="E58" s="736"/>
      <c r="F58" s="736"/>
      <c r="G58" s="736"/>
      <c r="H58" s="736"/>
      <c r="I58" s="736"/>
      <c r="J58" s="736"/>
      <c r="K58" s="736"/>
      <c r="L58" s="736"/>
      <c r="M58" s="736"/>
      <c r="N58" s="736"/>
      <c r="O58" s="736"/>
      <c r="P58" s="736"/>
      <c r="Q58" s="736"/>
      <c r="R58" s="736"/>
      <c r="S58" s="736"/>
      <c r="T58" s="736"/>
      <c r="U58" s="736"/>
      <c r="V58" s="736"/>
      <c r="W58" s="736"/>
      <c r="X58" s="736"/>
      <c r="Y58" s="735"/>
      <c r="Z58" s="735"/>
      <c r="AA58" s="735"/>
      <c r="AB58" s="735"/>
      <c r="AC58" s="735"/>
      <c r="AD58" s="735"/>
      <c r="AE58" s="735"/>
      <c r="AF58" s="735"/>
      <c r="AG58" s="735"/>
      <c r="AH58" s="735"/>
      <c r="AI58" s="735"/>
      <c r="AJ58" s="735"/>
      <c r="AK58" s="735"/>
      <c r="AL58" s="735"/>
      <c r="AM58" s="735"/>
      <c r="AN58" s="735"/>
      <c r="AO58" s="735"/>
      <c r="AP58" s="735"/>
      <c r="AQ58" s="735"/>
      <c r="AR58" s="735"/>
      <c r="AS58" s="735"/>
      <c r="AT58" s="735"/>
      <c r="AU58" s="735"/>
      <c r="AV58" s="735"/>
      <c r="AW58" s="735"/>
      <c r="AX58" s="735"/>
      <c r="AY58" s="735"/>
      <c r="AZ58" s="735"/>
    </row>
    <row r="59" spans="1:52" ht="15">
      <c r="A59" s="735"/>
      <c r="B59" s="736"/>
      <c r="C59" s="736"/>
      <c r="D59" s="736"/>
      <c r="E59" s="736"/>
      <c r="F59" s="736"/>
      <c r="G59" s="736"/>
      <c r="H59" s="736"/>
      <c r="I59" s="736"/>
      <c r="J59" s="736"/>
      <c r="K59" s="736"/>
      <c r="L59" s="736"/>
      <c r="M59" s="736"/>
      <c r="N59" s="736"/>
      <c r="O59" s="736"/>
      <c r="P59" s="736"/>
      <c r="Q59" s="736"/>
      <c r="R59" s="736"/>
      <c r="S59" s="736"/>
      <c r="T59" s="736"/>
      <c r="U59" s="736"/>
      <c r="V59" s="736"/>
      <c r="W59" s="736"/>
      <c r="X59" s="736"/>
      <c r="Y59" s="735"/>
      <c r="Z59" s="735"/>
      <c r="AA59" s="735"/>
      <c r="AB59" s="735"/>
      <c r="AC59" s="735"/>
      <c r="AD59" s="735"/>
      <c r="AE59" s="735"/>
      <c r="AF59" s="735"/>
      <c r="AG59" s="735"/>
      <c r="AH59" s="735"/>
      <c r="AI59" s="735"/>
      <c r="AJ59" s="735"/>
      <c r="AK59" s="735"/>
      <c r="AL59" s="735"/>
      <c r="AM59" s="735"/>
      <c r="AN59" s="735"/>
      <c r="AO59" s="735"/>
      <c r="AP59" s="735"/>
      <c r="AQ59" s="735"/>
      <c r="AR59" s="735"/>
      <c r="AS59" s="735"/>
      <c r="AT59" s="735"/>
      <c r="AU59" s="735"/>
      <c r="AV59" s="735"/>
      <c r="AW59" s="735"/>
      <c r="AX59" s="735"/>
      <c r="AY59" s="735"/>
      <c r="AZ59" s="735"/>
    </row>
    <row r="60" spans="1:52" ht="15">
      <c r="A60" s="735"/>
      <c r="B60" s="736"/>
      <c r="C60" s="736"/>
      <c r="D60" s="736"/>
      <c r="E60" s="736"/>
      <c r="F60" s="736"/>
      <c r="G60" s="736"/>
      <c r="H60" s="736"/>
      <c r="I60" s="736"/>
      <c r="J60" s="736"/>
      <c r="K60" s="736"/>
      <c r="L60" s="736"/>
      <c r="M60" s="736"/>
      <c r="N60" s="736"/>
      <c r="O60" s="736"/>
      <c r="P60" s="736"/>
      <c r="Q60" s="736"/>
      <c r="R60" s="736"/>
      <c r="S60" s="736"/>
      <c r="T60" s="736"/>
      <c r="U60" s="736"/>
      <c r="V60" s="736"/>
      <c r="W60" s="736"/>
      <c r="X60" s="736"/>
      <c r="Y60" s="735"/>
      <c r="Z60" s="735"/>
      <c r="AA60" s="735"/>
      <c r="AB60" s="735"/>
      <c r="AC60" s="735"/>
      <c r="AD60" s="735"/>
      <c r="AE60" s="735"/>
      <c r="AF60" s="735"/>
      <c r="AG60" s="735"/>
      <c r="AH60" s="735"/>
      <c r="AI60" s="735"/>
      <c r="AJ60" s="735"/>
      <c r="AK60" s="735"/>
      <c r="AL60" s="735"/>
      <c r="AM60" s="735"/>
      <c r="AN60" s="735"/>
      <c r="AO60" s="735"/>
      <c r="AP60" s="735"/>
      <c r="AQ60" s="735"/>
      <c r="AR60" s="735"/>
      <c r="AS60" s="735"/>
      <c r="AT60" s="735"/>
      <c r="AU60" s="735"/>
      <c r="AV60" s="735"/>
      <c r="AW60" s="735"/>
      <c r="AX60" s="735"/>
      <c r="AY60" s="735"/>
      <c r="AZ60" s="735"/>
    </row>
    <row r="61" spans="1:52" ht="15">
      <c r="A61" s="735"/>
      <c r="B61" s="736"/>
      <c r="C61" s="736"/>
      <c r="D61" s="736"/>
      <c r="E61" s="736"/>
      <c r="F61" s="736"/>
      <c r="G61" s="736"/>
      <c r="H61" s="736"/>
      <c r="I61" s="736"/>
      <c r="J61" s="736"/>
      <c r="K61" s="736"/>
      <c r="L61" s="736"/>
      <c r="M61" s="736"/>
      <c r="N61" s="736"/>
      <c r="O61" s="736"/>
      <c r="P61" s="736"/>
      <c r="Q61" s="736"/>
      <c r="R61" s="736"/>
      <c r="S61" s="736"/>
      <c r="T61" s="736"/>
      <c r="U61" s="736"/>
      <c r="V61" s="736"/>
      <c r="W61" s="736"/>
      <c r="X61" s="736"/>
      <c r="Y61" s="735"/>
      <c r="Z61" s="735"/>
      <c r="AA61" s="735"/>
      <c r="AB61" s="735"/>
      <c r="AC61" s="735"/>
      <c r="AD61" s="735"/>
      <c r="AE61" s="735"/>
      <c r="AF61" s="735"/>
      <c r="AG61" s="735"/>
      <c r="AH61" s="735"/>
      <c r="AI61" s="735"/>
      <c r="AJ61" s="735"/>
      <c r="AK61" s="735"/>
      <c r="AL61" s="735"/>
      <c r="AM61" s="735"/>
      <c r="AN61" s="735"/>
      <c r="AO61" s="735"/>
      <c r="AP61" s="735"/>
      <c r="AQ61" s="735"/>
      <c r="AR61" s="735"/>
      <c r="AS61" s="735"/>
      <c r="AT61" s="735"/>
      <c r="AU61" s="735"/>
      <c r="AV61" s="735"/>
      <c r="AW61" s="735"/>
      <c r="AX61" s="735"/>
      <c r="AY61" s="735"/>
      <c r="AZ61" s="735"/>
    </row>
    <row r="62" spans="1:52" ht="15">
      <c r="A62" s="735"/>
      <c r="B62" s="736"/>
      <c r="C62" s="736"/>
      <c r="D62" s="736"/>
      <c r="E62" s="736"/>
      <c r="F62" s="736"/>
      <c r="G62" s="736"/>
      <c r="H62" s="736"/>
      <c r="I62" s="736"/>
      <c r="J62" s="736"/>
      <c r="K62" s="736"/>
      <c r="L62" s="736"/>
      <c r="M62" s="736"/>
      <c r="N62" s="736"/>
      <c r="O62" s="736"/>
      <c r="P62" s="736"/>
      <c r="Q62" s="736"/>
      <c r="R62" s="736"/>
      <c r="S62" s="736"/>
      <c r="T62" s="736"/>
      <c r="U62" s="736"/>
      <c r="V62" s="736"/>
      <c r="W62" s="736"/>
      <c r="X62" s="736"/>
      <c r="Y62" s="735"/>
      <c r="Z62" s="735"/>
      <c r="AA62" s="735"/>
      <c r="AB62" s="735"/>
      <c r="AC62" s="735"/>
      <c r="AD62" s="735"/>
      <c r="AE62" s="735"/>
      <c r="AF62" s="735"/>
      <c r="AG62" s="735"/>
      <c r="AH62" s="735"/>
      <c r="AI62" s="735"/>
      <c r="AJ62" s="735"/>
      <c r="AK62" s="735"/>
      <c r="AL62" s="735"/>
      <c r="AM62" s="735"/>
      <c r="AN62" s="735"/>
      <c r="AO62" s="735"/>
      <c r="AP62" s="735"/>
      <c r="AQ62" s="735"/>
      <c r="AR62" s="735"/>
      <c r="AS62" s="735"/>
      <c r="AT62" s="735"/>
      <c r="AU62" s="735"/>
      <c r="AV62" s="735"/>
      <c r="AW62" s="735"/>
      <c r="AX62" s="735"/>
      <c r="AY62" s="735"/>
      <c r="AZ62" s="735"/>
    </row>
    <row r="63" spans="1:52" ht="15">
      <c r="A63" s="735"/>
      <c r="B63" s="736"/>
      <c r="C63" s="736"/>
      <c r="D63" s="736"/>
      <c r="E63" s="736"/>
      <c r="F63" s="736"/>
      <c r="G63" s="736"/>
      <c r="H63" s="736"/>
      <c r="I63" s="736"/>
      <c r="J63" s="736"/>
      <c r="K63" s="736"/>
      <c r="L63" s="736"/>
      <c r="M63" s="736"/>
      <c r="N63" s="736"/>
      <c r="O63" s="736"/>
      <c r="P63" s="736"/>
      <c r="Q63" s="736"/>
      <c r="R63" s="736"/>
      <c r="S63" s="736"/>
      <c r="T63" s="736"/>
      <c r="U63" s="736"/>
      <c r="V63" s="736"/>
      <c r="W63" s="736"/>
      <c r="X63" s="736"/>
      <c r="Y63" s="735"/>
      <c r="Z63" s="735"/>
      <c r="AA63" s="735"/>
      <c r="AB63" s="735"/>
      <c r="AC63" s="735"/>
      <c r="AD63" s="735"/>
      <c r="AE63" s="735"/>
      <c r="AF63" s="735"/>
      <c r="AG63" s="735"/>
      <c r="AH63" s="735"/>
      <c r="AI63" s="735"/>
      <c r="AJ63" s="735"/>
      <c r="AK63" s="735"/>
      <c r="AL63" s="735"/>
      <c r="AM63" s="735"/>
      <c r="AN63" s="735"/>
      <c r="AO63" s="735"/>
      <c r="AP63" s="735"/>
      <c r="AQ63" s="735"/>
      <c r="AR63" s="735"/>
      <c r="AS63" s="735"/>
      <c r="AT63" s="735"/>
      <c r="AU63" s="735"/>
      <c r="AV63" s="735"/>
      <c r="AW63" s="735"/>
      <c r="AX63" s="735"/>
      <c r="AY63" s="735"/>
      <c r="AZ63" s="735"/>
    </row>
    <row r="64" spans="1:52" ht="15">
      <c r="A64" s="735"/>
      <c r="B64" s="736"/>
      <c r="C64" s="736"/>
      <c r="D64" s="736"/>
      <c r="E64" s="736"/>
      <c r="F64" s="736"/>
      <c r="G64" s="736"/>
      <c r="H64" s="736"/>
      <c r="I64" s="736"/>
      <c r="J64" s="736"/>
      <c r="K64" s="736"/>
      <c r="L64" s="736"/>
      <c r="M64" s="736"/>
      <c r="N64" s="736"/>
      <c r="O64" s="736"/>
      <c r="P64" s="736"/>
      <c r="Q64" s="736"/>
      <c r="R64" s="736"/>
      <c r="S64" s="736"/>
      <c r="T64" s="736"/>
      <c r="U64" s="736"/>
      <c r="V64" s="736"/>
      <c r="W64" s="736"/>
      <c r="X64" s="736"/>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5"/>
      <c r="AY64" s="735"/>
      <c r="AZ64" s="735"/>
    </row>
    <row r="65" spans="1:52" ht="15">
      <c r="A65" s="735"/>
      <c r="B65" s="736"/>
      <c r="C65" s="736"/>
      <c r="D65" s="736"/>
      <c r="E65" s="736"/>
      <c r="F65" s="736"/>
      <c r="G65" s="736"/>
      <c r="H65" s="736"/>
      <c r="I65" s="736"/>
      <c r="J65" s="736"/>
      <c r="K65" s="736"/>
      <c r="L65" s="736"/>
      <c r="M65" s="736"/>
      <c r="N65" s="736"/>
      <c r="O65" s="736"/>
      <c r="P65" s="736"/>
      <c r="Q65" s="736"/>
      <c r="R65" s="736"/>
      <c r="S65" s="736"/>
      <c r="T65" s="736"/>
      <c r="U65" s="736"/>
      <c r="V65" s="736"/>
      <c r="W65" s="736"/>
      <c r="X65" s="736"/>
      <c r="Y65" s="735"/>
      <c r="Z65" s="735"/>
      <c r="AA65" s="735"/>
      <c r="AB65" s="735"/>
      <c r="AC65" s="735"/>
      <c r="AD65" s="735"/>
      <c r="AE65" s="735"/>
      <c r="AF65" s="735"/>
      <c r="AG65" s="735"/>
      <c r="AH65" s="735"/>
      <c r="AI65" s="735"/>
      <c r="AJ65" s="735"/>
      <c r="AK65" s="735"/>
      <c r="AL65" s="735"/>
      <c r="AM65" s="735"/>
      <c r="AN65" s="735"/>
      <c r="AO65" s="735"/>
      <c r="AP65" s="735"/>
      <c r="AQ65" s="735"/>
      <c r="AR65" s="735"/>
      <c r="AS65" s="735"/>
      <c r="AT65" s="735"/>
      <c r="AU65" s="735"/>
      <c r="AV65" s="735"/>
      <c r="AW65" s="735"/>
      <c r="AX65" s="735"/>
      <c r="AY65" s="735"/>
      <c r="AZ65" s="735"/>
    </row>
    <row r="66" spans="1:52" ht="15">
      <c r="A66" s="735"/>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5"/>
      <c r="Z66" s="735"/>
      <c r="AA66" s="735"/>
      <c r="AB66" s="735"/>
      <c r="AC66" s="735"/>
      <c r="AD66" s="735"/>
      <c r="AE66" s="735"/>
      <c r="AF66" s="735"/>
      <c r="AG66" s="735"/>
      <c r="AH66" s="735"/>
      <c r="AI66" s="735"/>
      <c r="AJ66" s="735"/>
      <c r="AK66" s="735"/>
      <c r="AL66" s="735"/>
      <c r="AM66" s="735"/>
      <c r="AN66" s="735"/>
      <c r="AO66" s="735"/>
      <c r="AP66" s="735"/>
      <c r="AQ66" s="735"/>
      <c r="AR66" s="735"/>
      <c r="AS66" s="735"/>
      <c r="AT66" s="735"/>
      <c r="AU66" s="735"/>
      <c r="AV66" s="735"/>
      <c r="AW66" s="735"/>
      <c r="AX66" s="735"/>
      <c r="AY66" s="735"/>
      <c r="AZ66" s="735"/>
    </row>
    <row r="67" spans="1:52" ht="15">
      <c r="A67" s="735"/>
      <c r="B67" s="736"/>
      <c r="C67" s="736"/>
      <c r="D67" s="736"/>
      <c r="E67" s="736"/>
      <c r="F67" s="736"/>
      <c r="G67" s="736"/>
      <c r="H67" s="736"/>
      <c r="I67" s="736"/>
      <c r="J67" s="736"/>
      <c r="K67" s="736"/>
      <c r="L67" s="736"/>
      <c r="M67" s="736"/>
      <c r="N67" s="736"/>
      <c r="O67" s="736"/>
      <c r="P67" s="736"/>
      <c r="Q67" s="736"/>
      <c r="R67" s="736"/>
      <c r="S67" s="736"/>
      <c r="T67" s="736"/>
      <c r="U67" s="736"/>
      <c r="V67" s="736"/>
      <c r="W67" s="736"/>
      <c r="X67" s="736"/>
      <c r="Y67" s="735"/>
      <c r="Z67" s="735"/>
      <c r="AA67" s="735"/>
      <c r="AB67" s="735"/>
      <c r="AC67" s="735"/>
      <c r="AD67" s="735"/>
      <c r="AE67" s="735"/>
      <c r="AF67" s="735"/>
      <c r="AG67" s="735"/>
      <c r="AH67" s="735"/>
      <c r="AI67" s="735"/>
      <c r="AJ67" s="735"/>
      <c r="AK67" s="735"/>
      <c r="AL67" s="735"/>
      <c r="AM67" s="735"/>
      <c r="AN67" s="735"/>
      <c r="AO67" s="735"/>
      <c r="AP67" s="735"/>
      <c r="AQ67" s="735"/>
      <c r="AR67" s="735"/>
      <c r="AS67" s="735"/>
      <c r="AT67" s="735"/>
      <c r="AU67" s="735"/>
      <c r="AV67" s="735"/>
      <c r="AW67" s="735"/>
      <c r="AX67" s="735"/>
      <c r="AY67" s="735"/>
      <c r="AZ67" s="735"/>
    </row>
    <row r="68" spans="1:52" ht="15">
      <c r="A68" s="735"/>
      <c r="B68" s="736"/>
      <c r="C68" s="736"/>
      <c r="D68" s="736"/>
      <c r="E68" s="736"/>
      <c r="F68" s="736"/>
      <c r="G68" s="736"/>
      <c r="H68" s="736"/>
      <c r="I68" s="736"/>
      <c r="J68" s="736"/>
      <c r="K68" s="736"/>
      <c r="L68" s="736"/>
      <c r="M68" s="736"/>
      <c r="N68" s="736"/>
      <c r="O68" s="736"/>
      <c r="P68" s="736"/>
      <c r="Q68" s="736"/>
      <c r="R68" s="736"/>
      <c r="S68" s="736"/>
      <c r="T68" s="736"/>
      <c r="U68" s="736"/>
      <c r="V68" s="736"/>
      <c r="W68" s="736"/>
      <c r="X68" s="736"/>
      <c r="Y68" s="735"/>
      <c r="Z68" s="735"/>
      <c r="AA68" s="735"/>
      <c r="AB68" s="735"/>
      <c r="AC68" s="735"/>
      <c r="AD68" s="735"/>
      <c r="AE68" s="735"/>
      <c r="AF68" s="735"/>
      <c r="AG68" s="735"/>
      <c r="AH68" s="735"/>
      <c r="AI68" s="735"/>
      <c r="AJ68" s="735"/>
      <c r="AK68" s="735"/>
      <c r="AL68" s="735"/>
      <c r="AM68" s="735"/>
      <c r="AN68" s="735"/>
      <c r="AO68" s="735"/>
      <c r="AP68" s="735"/>
      <c r="AQ68" s="735"/>
      <c r="AR68" s="735"/>
      <c r="AS68" s="735"/>
      <c r="AT68" s="735"/>
      <c r="AU68" s="735"/>
      <c r="AV68" s="735"/>
      <c r="AW68" s="735"/>
      <c r="AX68" s="735"/>
      <c r="AY68" s="735"/>
      <c r="AZ68" s="735"/>
    </row>
    <row r="69" spans="1:52" ht="15">
      <c r="A69" s="735"/>
      <c r="B69" s="736"/>
      <c r="C69" s="736"/>
      <c r="D69" s="736"/>
      <c r="E69" s="736"/>
      <c r="F69" s="736"/>
      <c r="G69" s="736"/>
      <c r="H69" s="736"/>
      <c r="I69" s="736"/>
      <c r="J69" s="736"/>
      <c r="K69" s="736"/>
      <c r="L69" s="736"/>
      <c r="M69" s="736"/>
      <c r="N69" s="736"/>
      <c r="O69" s="736"/>
      <c r="P69" s="736"/>
      <c r="Q69" s="736"/>
      <c r="R69" s="736"/>
      <c r="S69" s="736"/>
      <c r="T69" s="736"/>
      <c r="U69" s="736"/>
      <c r="V69" s="736"/>
      <c r="W69" s="736"/>
      <c r="X69" s="736"/>
      <c r="Y69" s="735"/>
      <c r="Z69" s="735"/>
      <c r="AA69" s="735"/>
      <c r="AB69" s="735"/>
      <c r="AC69" s="735"/>
      <c r="AD69" s="735"/>
      <c r="AE69" s="735"/>
      <c r="AF69" s="735"/>
      <c r="AG69" s="735"/>
      <c r="AH69" s="735"/>
      <c r="AI69" s="735"/>
      <c r="AJ69" s="735"/>
      <c r="AK69" s="735"/>
      <c r="AL69" s="735"/>
      <c r="AM69" s="735"/>
      <c r="AN69" s="735"/>
      <c r="AO69" s="735"/>
      <c r="AP69" s="735"/>
      <c r="AQ69" s="735"/>
      <c r="AR69" s="735"/>
      <c r="AS69" s="735"/>
      <c r="AT69" s="735"/>
      <c r="AU69" s="735"/>
      <c r="AV69" s="735"/>
      <c r="AW69" s="735"/>
      <c r="AX69" s="735"/>
      <c r="AY69" s="735"/>
      <c r="AZ69" s="735"/>
    </row>
    <row r="70" spans="1:52" ht="15">
      <c r="A70" s="735"/>
      <c r="B70" s="736"/>
      <c r="C70" s="736"/>
      <c r="D70" s="736"/>
      <c r="E70" s="736"/>
      <c r="F70" s="736"/>
      <c r="G70" s="736"/>
      <c r="H70" s="736"/>
      <c r="I70" s="736"/>
      <c r="J70" s="736"/>
      <c r="K70" s="736"/>
      <c r="L70" s="736"/>
      <c r="M70" s="736"/>
      <c r="N70" s="736"/>
      <c r="O70" s="736"/>
      <c r="P70" s="736"/>
      <c r="Q70" s="736"/>
      <c r="R70" s="736"/>
      <c r="S70" s="736"/>
      <c r="T70" s="736"/>
      <c r="U70" s="736"/>
      <c r="V70" s="736"/>
      <c r="W70" s="736"/>
      <c r="X70" s="736"/>
      <c r="Y70" s="735"/>
      <c r="Z70" s="735"/>
      <c r="AA70" s="735"/>
      <c r="AB70" s="735"/>
      <c r="AC70" s="735"/>
      <c r="AD70" s="735"/>
      <c r="AE70" s="735"/>
      <c r="AF70" s="735"/>
      <c r="AG70" s="735"/>
      <c r="AH70" s="735"/>
      <c r="AI70" s="735"/>
      <c r="AJ70" s="735"/>
      <c r="AK70" s="735"/>
      <c r="AL70" s="735"/>
      <c r="AM70" s="735"/>
      <c r="AN70" s="735"/>
      <c r="AO70" s="735"/>
      <c r="AP70" s="735"/>
      <c r="AQ70" s="735"/>
      <c r="AR70" s="735"/>
      <c r="AS70" s="735"/>
      <c r="AT70" s="735"/>
      <c r="AU70" s="735"/>
      <c r="AV70" s="735"/>
      <c r="AW70" s="735"/>
      <c r="AX70" s="735"/>
      <c r="AY70" s="735"/>
      <c r="AZ70" s="735"/>
    </row>
    <row r="71" spans="1:52" ht="15">
      <c r="A71" s="735"/>
      <c r="B71" s="736"/>
      <c r="C71" s="736"/>
      <c r="D71" s="736"/>
      <c r="E71" s="736"/>
      <c r="F71" s="736"/>
      <c r="G71" s="736"/>
      <c r="H71" s="736"/>
      <c r="I71" s="736"/>
      <c r="J71" s="736"/>
      <c r="K71" s="736"/>
      <c r="L71" s="736"/>
      <c r="M71" s="736"/>
      <c r="N71" s="736"/>
      <c r="O71" s="736"/>
      <c r="P71" s="736"/>
      <c r="Q71" s="736"/>
      <c r="R71" s="736"/>
      <c r="S71" s="736"/>
      <c r="T71" s="736"/>
      <c r="U71" s="736"/>
      <c r="V71" s="736"/>
      <c r="W71" s="736"/>
      <c r="X71" s="736"/>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row>
    <row r="72" spans="1:52" ht="15">
      <c r="A72" s="735"/>
      <c r="B72" s="736"/>
      <c r="C72" s="736"/>
      <c r="D72" s="736"/>
      <c r="E72" s="736"/>
      <c r="F72" s="736"/>
      <c r="G72" s="736"/>
      <c r="H72" s="736"/>
      <c r="I72" s="736"/>
      <c r="J72" s="736"/>
      <c r="K72" s="736"/>
      <c r="L72" s="736"/>
      <c r="M72" s="736"/>
      <c r="N72" s="736"/>
      <c r="O72" s="736"/>
      <c r="P72" s="736"/>
      <c r="Q72" s="736"/>
      <c r="R72" s="736"/>
      <c r="S72" s="736"/>
      <c r="T72" s="736"/>
      <c r="U72" s="736"/>
      <c r="V72" s="736"/>
      <c r="W72" s="736"/>
      <c r="X72" s="736"/>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row>
    <row r="73" spans="1:52" ht="15">
      <c r="A73" s="735"/>
      <c r="B73" s="736"/>
      <c r="C73" s="736"/>
      <c r="D73" s="736"/>
      <c r="E73" s="736"/>
      <c r="F73" s="736"/>
      <c r="G73" s="736"/>
      <c r="H73" s="736"/>
      <c r="I73" s="736"/>
      <c r="J73" s="736"/>
      <c r="K73" s="736"/>
      <c r="L73" s="736"/>
      <c r="M73" s="736"/>
      <c r="N73" s="736"/>
      <c r="O73" s="736"/>
      <c r="P73" s="736"/>
      <c r="Q73" s="736"/>
      <c r="R73" s="736"/>
      <c r="S73" s="736"/>
      <c r="T73" s="736"/>
      <c r="U73" s="736"/>
      <c r="V73" s="736"/>
      <c r="W73" s="736"/>
      <c r="X73" s="736"/>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row>
    <row r="74" spans="1:52" ht="15">
      <c r="A74" s="735"/>
      <c r="B74" s="736"/>
      <c r="C74" s="736"/>
      <c r="D74" s="736"/>
      <c r="E74" s="736"/>
      <c r="F74" s="736"/>
      <c r="G74" s="736"/>
      <c r="H74" s="736"/>
      <c r="I74" s="736"/>
      <c r="J74" s="736"/>
      <c r="K74" s="736"/>
      <c r="L74" s="736"/>
      <c r="M74" s="736"/>
      <c r="N74" s="736"/>
      <c r="O74" s="736"/>
      <c r="P74" s="736"/>
      <c r="Q74" s="736"/>
      <c r="R74" s="736"/>
      <c r="S74" s="736"/>
      <c r="T74" s="736"/>
      <c r="U74" s="736"/>
      <c r="V74" s="736"/>
      <c r="W74" s="736"/>
      <c r="X74" s="736"/>
      <c r="Y74" s="735"/>
      <c r="Z74" s="735"/>
      <c r="AA74" s="735"/>
      <c r="AB74" s="735"/>
      <c r="AC74" s="735"/>
      <c r="AD74" s="735"/>
      <c r="AE74" s="735"/>
      <c r="AF74" s="735"/>
      <c r="AG74" s="735"/>
      <c r="AH74" s="735"/>
      <c r="AI74" s="735"/>
      <c r="AJ74" s="735"/>
      <c r="AK74" s="735"/>
      <c r="AL74" s="735"/>
      <c r="AM74" s="735"/>
      <c r="AN74" s="735"/>
      <c r="AO74" s="735"/>
      <c r="AP74" s="735"/>
      <c r="AQ74" s="735"/>
      <c r="AR74" s="735"/>
      <c r="AS74" s="735"/>
      <c r="AT74" s="735"/>
      <c r="AU74" s="735"/>
      <c r="AV74" s="735"/>
      <c r="AW74" s="735"/>
      <c r="AX74" s="735"/>
      <c r="AY74" s="735"/>
      <c r="AZ74" s="735"/>
    </row>
    <row r="75" spans="1:52" ht="15">
      <c r="A75" s="735"/>
      <c r="B75" s="736"/>
      <c r="C75" s="736"/>
      <c r="D75" s="736"/>
      <c r="E75" s="736"/>
      <c r="F75" s="736"/>
      <c r="G75" s="736"/>
      <c r="H75" s="736"/>
      <c r="I75" s="736"/>
      <c r="J75" s="736"/>
      <c r="K75" s="736"/>
      <c r="L75" s="736"/>
      <c r="M75" s="736"/>
      <c r="N75" s="736"/>
      <c r="O75" s="736"/>
      <c r="P75" s="736"/>
      <c r="Q75" s="736"/>
      <c r="R75" s="736"/>
      <c r="S75" s="736"/>
      <c r="T75" s="736"/>
      <c r="U75" s="736"/>
      <c r="V75" s="736"/>
      <c r="W75" s="736"/>
      <c r="X75" s="736"/>
      <c r="Y75" s="735"/>
      <c r="Z75" s="735"/>
      <c r="AA75" s="735"/>
      <c r="AB75" s="735"/>
      <c r="AC75" s="735"/>
      <c r="AD75" s="735"/>
      <c r="AE75" s="735"/>
      <c r="AF75" s="735"/>
      <c r="AG75" s="735"/>
      <c r="AH75" s="735"/>
      <c r="AI75" s="735"/>
      <c r="AJ75" s="735"/>
      <c r="AK75" s="735"/>
      <c r="AL75" s="735"/>
      <c r="AM75" s="735"/>
      <c r="AN75" s="735"/>
      <c r="AO75" s="735"/>
      <c r="AP75" s="735"/>
      <c r="AQ75" s="735"/>
      <c r="AR75" s="735"/>
      <c r="AS75" s="735"/>
      <c r="AT75" s="735"/>
      <c r="AU75" s="735"/>
      <c r="AV75" s="735"/>
      <c r="AW75" s="735"/>
      <c r="AX75" s="735"/>
      <c r="AY75" s="735"/>
      <c r="AZ75" s="735"/>
    </row>
    <row r="76" spans="1:52" ht="15">
      <c r="A76" s="735"/>
      <c r="B76" s="736"/>
      <c r="C76" s="736"/>
      <c r="D76" s="736"/>
      <c r="E76" s="736"/>
      <c r="F76" s="736"/>
      <c r="G76" s="736"/>
      <c r="H76" s="736"/>
      <c r="I76" s="736"/>
      <c r="J76" s="736"/>
      <c r="K76" s="736"/>
      <c r="L76" s="736"/>
      <c r="M76" s="736"/>
      <c r="N76" s="736"/>
      <c r="O76" s="736"/>
      <c r="P76" s="736"/>
      <c r="Q76" s="736"/>
      <c r="R76" s="736"/>
      <c r="S76" s="736"/>
      <c r="T76" s="736"/>
      <c r="U76" s="736"/>
      <c r="V76" s="736"/>
      <c r="W76" s="736"/>
      <c r="X76" s="736"/>
      <c r="Y76" s="735"/>
      <c r="Z76" s="735"/>
      <c r="AA76" s="735"/>
      <c r="AB76" s="735"/>
      <c r="AC76" s="735"/>
      <c r="AD76" s="735"/>
      <c r="AE76" s="735"/>
      <c r="AF76" s="735"/>
      <c r="AG76" s="735"/>
      <c r="AH76" s="735"/>
      <c r="AI76" s="735"/>
      <c r="AJ76" s="735"/>
      <c r="AK76" s="735"/>
      <c r="AL76" s="735"/>
      <c r="AM76" s="735"/>
      <c r="AN76" s="735"/>
      <c r="AO76" s="735"/>
      <c r="AP76" s="735"/>
      <c r="AQ76" s="735"/>
      <c r="AR76" s="735"/>
      <c r="AS76" s="735"/>
      <c r="AT76" s="735"/>
      <c r="AU76" s="735"/>
      <c r="AV76" s="735"/>
      <c r="AW76" s="735"/>
      <c r="AX76" s="735"/>
      <c r="AY76" s="735"/>
      <c r="AZ76" s="735"/>
    </row>
    <row r="77" spans="1:52" ht="15">
      <c r="A77" s="735"/>
      <c r="B77" s="736"/>
      <c r="C77" s="736"/>
      <c r="D77" s="736"/>
      <c r="E77" s="736"/>
      <c r="F77" s="736"/>
      <c r="G77" s="736"/>
      <c r="H77" s="736"/>
      <c r="I77" s="736"/>
      <c r="J77" s="736"/>
      <c r="K77" s="736"/>
      <c r="L77" s="736"/>
      <c r="M77" s="736"/>
      <c r="N77" s="736"/>
      <c r="O77" s="736"/>
      <c r="P77" s="736"/>
      <c r="Q77" s="736"/>
      <c r="R77" s="736"/>
      <c r="S77" s="736"/>
      <c r="T77" s="736"/>
      <c r="U77" s="736"/>
      <c r="V77" s="736"/>
      <c r="W77" s="736"/>
      <c r="X77" s="736"/>
      <c r="Y77" s="735"/>
      <c r="Z77" s="735"/>
      <c r="AA77" s="735"/>
      <c r="AB77" s="735"/>
      <c r="AC77" s="735"/>
      <c r="AD77" s="735"/>
      <c r="AE77" s="735"/>
      <c r="AF77" s="735"/>
      <c r="AG77" s="735"/>
      <c r="AH77" s="735"/>
      <c r="AI77" s="735"/>
      <c r="AJ77" s="735"/>
      <c r="AK77" s="735"/>
      <c r="AL77" s="735"/>
      <c r="AM77" s="735"/>
      <c r="AN77" s="735"/>
      <c r="AO77" s="735"/>
      <c r="AP77" s="735"/>
      <c r="AQ77" s="735"/>
      <c r="AR77" s="735"/>
      <c r="AS77" s="735"/>
      <c r="AT77" s="735"/>
      <c r="AU77" s="735"/>
      <c r="AV77" s="735"/>
      <c r="AW77" s="735"/>
      <c r="AX77" s="735"/>
      <c r="AY77" s="735"/>
      <c r="AZ77" s="735"/>
    </row>
    <row r="78" spans="1:52" ht="15">
      <c r="A78" s="735"/>
      <c r="B78" s="736"/>
      <c r="C78" s="736"/>
      <c r="D78" s="736"/>
      <c r="E78" s="736"/>
      <c r="F78" s="736"/>
      <c r="G78" s="736"/>
      <c r="H78" s="736"/>
      <c r="I78" s="736"/>
      <c r="J78" s="736"/>
      <c r="K78" s="736"/>
      <c r="L78" s="736"/>
      <c r="M78" s="736"/>
      <c r="N78" s="736"/>
      <c r="O78" s="736"/>
      <c r="P78" s="736"/>
      <c r="Q78" s="736"/>
      <c r="R78" s="736"/>
      <c r="S78" s="736"/>
      <c r="T78" s="736"/>
      <c r="U78" s="736"/>
      <c r="V78" s="736"/>
      <c r="W78" s="736"/>
      <c r="X78" s="736"/>
      <c r="Y78" s="735"/>
      <c r="Z78" s="735"/>
      <c r="AA78" s="735"/>
      <c r="AB78" s="735"/>
      <c r="AC78" s="735"/>
      <c r="AD78" s="735"/>
      <c r="AE78" s="735"/>
      <c r="AF78" s="735"/>
      <c r="AG78" s="735"/>
      <c r="AH78" s="735"/>
      <c r="AI78" s="735"/>
      <c r="AJ78" s="735"/>
      <c r="AK78" s="735"/>
      <c r="AL78" s="735"/>
      <c r="AM78" s="735"/>
      <c r="AN78" s="735"/>
      <c r="AO78" s="735"/>
      <c r="AP78" s="735"/>
      <c r="AQ78" s="735"/>
      <c r="AR78" s="735"/>
      <c r="AS78" s="735"/>
      <c r="AT78" s="735"/>
      <c r="AU78" s="735"/>
      <c r="AV78" s="735"/>
      <c r="AW78" s="735"/>
      <c r="AX78" s="735"/>
      <c r="AY78" s="735"/>
      <c r="AZ78" s="735"/>
    </row>
    <row r="79" spans="1:52" ht="15">
      <c r="A79" s="735"/>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5"/>
      <c r="Z79" s="735"/>
      <c r="AA79" s="735"/>
      <c r="AB79" s="735"/>
      <c r="AC79" s="73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735"/>
    </row>
    <row r="80" spans="1:52" ht="15">
      <c r="A80" s="735"/>
      <c r="B80" s="736"/>
      <c r="C80" s="736"/>
      <c r="D80" s="736"/>
      <c r="E80" s="736"/>
      <c r="F80" s="736"/>
      <c r="G80" s="736"/>
      <c r="H80" s="736"/>
      <c r="I80" s="736"/>
      <c r="J80" s="736"/>
      <c r="K80" s="736"/>
      <c r="L80" s="736"/>
      <c r="M80" s="736"/>
      <c r="N80" s="736"/>
      <c r="O80" s="736"/>
      <c r="P80" s="736"/>
      <c r="Q80" s="736"/>
      <c r="R80" s="736"/>
      <c r="S80" s="736"/>
      <c r="T80" s="736"/>
      <c r="U80" s="736"/>
      <c r="V80" s="736"/>
      <c r="W80" s="736"/>
      <c r="X80" s="736"/>
      <c r="Y80" s="735"/>
      <c r="Z80" s="735"/>
      <c r="AA80" s="735"/>
      <c r="AB80" s="735"/>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5"/>
      <c r="AY80" s="735"/>
      <c r="AZ80" s="735"/>
    </row>
    <row r="81" spans="1:52" ht="15">
      <c r="A81" s="735"/>
      <c r="B81" s="736"/>
      <c r="C81" s="736"/>
      <c r="D81" s="736"/>
      <c r="E81" s="736"/>
      <c r="F81" s="736"/>
      <c r="G81" s="736"/>
      <c r="H81" s="736"/>
      <c r="I81" s="736"/>
      <c r="J81" s="736"/>
      <c r="K81" s="736"/>
      <c r="L81" s="736"/>
      <c r="M81" s="736"/>
      <c r="N81" s="736"/>
      <c r="O81" s="736"/>
      <c r="P81" s="736"/>
      <c r="Q81" s="736"/>
      <c r="R81" s="736"/>
      <c r="S81" s="736"/>
      <c r="T81" s="736"/>
      <c r="U81" s="736"/>
      <c r="V81" s="736"/>
      <c r="W81" s="736"/>
      <c r="X81" s="736"/>
      <c r="Y81" s="735"/>
      <c r="Z81" s="735"/>
      <c r="AA81" s="735"/>
      <c r="AB81" s="735"/>
      <c r="AC81" s="735"/>
      <c r="AD81" s="735"/>
      <c r="AE81" s="735"/>
      <c r="AF81" s="735"/>
      <c r="AG81" s="735"/>
      <c r="AH81" s="735"/>
      <c r="AI81" s="735"/>
      <c r="AJ81" s="735"/>
      <c r="AK81" s="735"/>
      <c r="AL81" s="735"/>
      <c r="AM81" s="735"/>
      <c r="AN81" s="735"/>
      <c r="AO81" s="735"/>
      <c r="AP81" s="735"/>
      <c r="AQ81" s="735"/>
      <c r="AR81" s="735"/>
      <c r="AS81" s="735"/>
      <c r="AT81" s="735"/>
      <c r="AU81" s="735"/>
      <c r="AV81" s="735"/>
      <c r="AW81" s="735"/>
      <c r="AX81" s="735"/>
      <c r="AY81" s="735"/>
      <c r="AZ81" s="735"/>
    </row>
    <row r="82" spans="1:52" ht="15">
      <c r="A82" s="735"/>
      <c r="B82" s="736"/>
      <c r="C82" s="736"/>
      <c r="D82" s="736"/>
      <c r="E82" s="736"/>
      <c r="F82" s="736"/>
      <c r="G82" s="736"/>
      <c r="H82" s="736"/>
      <c r="I82" s="736"/>
      <c r="J82" s="736"/>
      <c r="K82" s="736"/>
      <c r="L82" s="736"/>
      <c r="M82" s="736"/>
      <c r="N82" s="736"/>
      <c r="O82" s="736"/>
      <c r="P82" s="736"/>
      <c r="Q82" s="736"/>
      <c r="R82" s="736"/>
      <c r="S82" s="736"/>
      <c r="T82" s="736"/>
      <c r="U82" s="736"/>
      <c r="V82" s="736"/>
      <c r="W82" s="736"/>
      <c r="X82" s="736"/>
      <c r="Y82" s="735"/>
      <c r="Z82" s="735"/>
      <c r="AA82" s="735"/>
      <c r="AB82" s="735"/>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35"/>
      <c r="AY82" s="735"/>
      <c r="AZ82" s="735"/>
    </row>
    <row r="83" spans="1:52" ht="15">
      <c r="A83" s="735"/>
      <c r="B83" s="736"/>
      <c r="C83" s="736"/>
      <c r="D83" s="736"/>
      <c r="E83" s="736"/>
      <c r="F83" s="736"/>
      <c r="G83" s="736"/>
      <c r="H83" s="736"/>
      <c r="I83" s="736"/>
      <c r="J83" s="736"/>
      <c r="K83" s="736"/>
      <c r="L83" s="736"/>
      <c r="M83" s="736"/>
      <c r="N83" s="736"/>
      <c r="O83" s="736"/>
      <c r="P83" s="736"/>
      <c r="Q83" s="736"/>
      <c r="R83" s="736"/>
      <c r="S83" s="736"/>
      <c r="T83" s="736"/>
      <c r="U83" s="736"/>
      <c r="V83" s="736"/>
      <c r="W83" s="736"/>
      <c r="X83" s="736"/>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row>
    <row r="84" spans="1:52" ht="15">
      <c r="A84" s="735"/>
      <c r="B84" s="736"/>
      <c r="C84" s="736"/>
      <c r="D84" s="736"/>
      <c r="E84" s="736"/>
      <c r="F84" s="736"/>
      <c r="G84" s="736"/>
      <c r="H84" s="736"/>
      <c r="I84" s="736"/>
      <c r="J84" s="736"/>
      <c r="K84" s="736"/>
      <c r="L84" s="736"/>
      <c r="M84" s="736"/>
      <c r="N84" s="736"/>
      <c r="O84" s="736"/>
      <c r="P84" s="736"/>
      <c r="Q84" s="736"/>
      <c r="R84" s="736"/>
      <c r="S84" s="736"/>
      <c r="T84" s="736"/>
      <c r="U84" s="736"/>
      <c r="V84" s="736"/>
      <c r="W84" s="736"/>
      <c r="X84" s="736"/>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row>
    <row r="85" spans="1:52" ht="15">
      <c r="A85" s="735"/>
      <c r="B85" s="736"/>
      <c r="C85" s="736"/>
      <c r="D85" s="736"/>
      <c r="E85" s="736"/>
      <c r="F85" s="736"/>
      <c r="G85" s="736"/>
      <c r="H85" s="736"/>
      <c r="I85" s="736"/>
      <c r="J85" s="736"/>
      <c r="K85" s="736"/>
      <c r="L85" s="736"/>
      <c r="M85" s="736"/>
      <c r="N85" s="736"/>
      <c r="O85" s="736"/>
      <c r="P85" s="736"/>
      <c r="Q85" s="736"/>
      <c r="R85" s="736"/>
      <c r="S85" s="736"/>
      <c r="T85" s="736"/>
      <c r="U85" s="736"/>
      <c r="V85" s="736"/>
      <c r="W85" s="736"/>
      <c r="X85" s="736"/>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row>
    <row r="86" spans="1:52" ht="15">
      <c r="A86" s="735"/>
      <c r="B86" s="736"/>
      <c r="C86" s="736"/>
      <c r="D86" s="736"/>
      <c r="E86" s="736"/>
      <c r="F86" s="736"/>
      <c r="G86" s="736"/>
      <c r="H86" s="736"/>
      <c r="I86" s="736"/>
      <c r="J86" s="736"/>
      <c r="K86" s="736"/>
      <c r="L86" s="736"/>
      <c r="M86" s="736"/>
      <c r="N86" s="736"/>
      <c r="O86" s="736"/>
      <c r="P86" s="736"/>
      <c r="Q86" s="736"/>
      <c r="R86" s="736"/>
      <c r="S86" s="736"/>
      <c r="T86" s="736"/>
      <c r="U86" s="736"/>
      <c r="V86" s="736"/>
      <c r="W86" s="736"/>
      <c r="X86" s="736"/>
      <c r="Y86" s="735"/>
      <c r="Z86" s="735"/>
      <c r="AA86" s="735"/>
      <c r="AB86" s="735"/>
      <c r="AC86" s="735"/>
      <c r="AD86" s="735"/>
      <c r="AE86" s="735"/>
      <c r="AF86" s="735"/>
      <c r="AG86" s="735"/>
      <c r="AH86" s="735"/>
      <c r="AI86" s="735"/>
      <c r="AJ86" s="735"/>
      <c r="AK86" s="735"/>
      <c r="AL86" s="735"/>
      <c r="AM86" s="735"/>
      <c r="AN86" s="735"/>
      <c r="AO86" s="735"/>
      <c r="AP86" s="735"/>
      <c r="AQ86" s="735"/>
      <c r="AR86" s="735"/>
      <c r="AS86" s="735"/>
      <c r="AT86" s="735"/>
      <c r="AU86" s="735"/>
      <c r="AV86" s="735"/>
      <c r="AW86" s="735"/>
      <c r="AX86" s="735"/>
      <c r="AY86" s="735"/>
      <c r="AZ86" s="735"/>
    </row>
    <row r="87" spans="1:52" ht="15">
      <c r="A87" s="735"/>
      <c r="B87" s="736"/>
      <c r="C87" s="736"/>
      <c r="D87" s="736"/>
      <c r="E87" s="736"/>
      <c r="F87" s="736"/>
      <c r="G87" s="736"/>
      <c r="H87" s="736"/>
      <c r="I87" s="736"/>
      <c r="J87" s="736"/>
      <c r="K87" s="736"/>
      <c r="L87" s="736"/>
      <c r="M87" s="736"/>
      <c r="N87" s="736"/>
      <c r="O87" s="736"/>
      <c r="P87" s="736"/>
      <c r="Q87" s="736"/>
      <c r="R87" s="736"/>
      <c r="S87" s="736"/>
      <c r="T87" s="736"/>
      <c r="U87" s="736"/>
      <c r="V87" s="736"/>
      <c r="W87" s="736"/>
      <c r="X87" s="736"/>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row>
    <row r="88" spans="1:52" ht="15">
      <c r="A88" s="735"/>
      <c r="B88" s="736"/>
      <c r="C88" s="736"/>
      <c r="D88" s="736"/>
      <c r="E88" s="736"/>
      <c r="F88" s="736"/>
      <c r="G88" s="736"/>
      <c r="H88" s="736"/>
      <c r="I88" s="736"/>
      <c r="J88" s="736"/>
      <c r="K88" s="736"/>
      <c r="L88" s="736"/>
      <c r="M88" s="736"/>
      <c r="N88" s="736"/>
      <c r="O88" s="736"/>
      <c r="P88" s="736"/>
      <c r="Q88" s="736"/>
      <c r="R88" s="736"/>
      <c r="S88" s="736"/>
      <c r="T88" s="736"/>
      <c r="U88" s="736"/>
      <c r="V88" s="736"/>
      <c r="W88" s="736"/>
      <c r="X88" s="736"/>
      <c r="Y88" s="735"/>
      <c r="Z88" s="735"/>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5"/>
      <c r="AY88" s="735"/>
      <c r="AZ88" s="735"/>
    </row>
    <row r="89" spans="1:52" ht="15">
      <c r="A89" s="735"/>
      <c r="B89" s="736"/>
      <c r="C89" s="736"/>
      <c r="D89" s="736"/>
      <c r="E89" s="736"/>
      <c r="F89" s="736"/>
      <c r="G89" s="736"/>
      <c r="H89" s="736"/>
      <c r="I89" s="736"/>
      <c r="J89" s="736"/>
      <c r="K89" s="736"/>
      <c r="L89" s="736"/>
      <c r="M89" s="736"/>
      <c r="N89" s="736"/>
      <c r="O89" s="736"/>
      <c r="P89" s="736"/>
      <c r="Q89" s="736"/>
      <c r="R89" s="736"/>
      <c r="S89" s="736"/>
      <c r="T89" s="736"/>
      <c r="U89" s="736"/>
      <c r="V89" s="736"/>
      <c r="W89" s="736"/>
      <c r="X89" s="736"/>
      <c r="Y89" s="735"/>
      <c r="Z89" s="735"/>
      <c r="AA89" s="735"/>
      <c r="AB89" s="735"/>
      <c r="AC89" s="735"/>
      <c r="AD89" s="735"/>
      <c r="AE89" s="735"/>
      <c r="AF89" s="735"/>
      <c r="AG89" s="735"/>
      <c r="AH89" s="735"/>
      <c r="AI89" s="735"/>
      <c r="AJ89" s="735"/>
      <c r="AK89" s="735"/>
      <c r="AL89" s="735"/>
      <c r="AM89" s="735"/>
      <c r="AN89" s="735"/>
      <c r="AO89" s="735"/>
      <c r="AP89" s="735"/>
      <c r="AQ89" s="735"/>
      <c r="AR89" s="735"/>
      <c r="AS89" s="735"/>
      <c r="AT89" s="735"/>
      <c r="AU89" s="735"/>
      <c r="AV89" s="735"/>
      <c r="AW89" s="735"/>
      <c r="AX89" s="735"/>
      <c r="AY89" s="735"/>
      <c r="AZ89" s="735"/>
    </row>
    <row r="90" spans="1:52" ht="15">
      <c r="A90" s="735"/>
      <c r="B90" s="736"/>
      <c r="C90" s="736"/>
      <c r="D90" s="736"/>
      <c r="E90" s="736"/>
      <c r="F90" s="736"/>
      <c r="G90" s="736"/>
      <c r="H90" s="736"/>
      <c r="I90" s="736"/>
      <c r="J90" s="736"/>
      <c r="K90" s="736"/>
      <c r="L90" s="736"/>
      <c r="M90" s="736"/>
      <c r="N90" s="736"/>
      <c r="O90" s="736"/>
      <c r="P90" s="736"/>
      <c r="Q90" s="736"/>
      <c r="R90" s="736"/>
      <c r="S90" s="736"/>
      <c r="T90" s="736"/>
      <c r="U90" s="736"/>
      <c r="V90" s="736"/>
      <c r="W90" s="736"/>
      <c r="X90" s="736"/>
      <c r="Y90" s="735"/>
      <c r="Z90" s="735"/>
      <c r="AA90" s="735"/>
      <c r="AB90" s="735"/>
      <c r="AC90" s="735"/>
      <c r="AD90" s="735"/>
      <c r="AE90" s="735"/>
      <c r="AF90" s="735"/>
      <c r="AG90" s="735"/>
      <c r="AH90" s="735"/>
      <c r="AI90" s="735"/>
      <c r="AJ90" s="735"/>
      <c r="AK90" s="735"/>
      <c r="AL90" s="735"/>
      <c r="AM90" s="735"/>
      <c r="AN90" s="735"/>
      <c r="AO90" s="735"/>
      <c r="AP90" s="735"/>
      <c r="AQ90" s="735"/>
      <c r="AR90" s="735"/>
      <c r="AS90" s="735"/>
      <c r="AT90" s="735"/>
      <c r="AU90" s="735"/>
      <c r="AV90" s="735"/>
      <c r="AW90" s="735"/>
      <c r="AX90" s="735"/>
      <c r="AY90" s="735"/>
      <c r="AZ90" s="735"/>
    </row>
    <row r="91" spans="1:52" ht="15">
      <c r="A91" s="735"/>
      <c r="B91" s="736"/>
      <c r="C91" s="736"/>
      <c r="D91" s="736"/>
      <c r="E91" s="736"/>
      <c r="F91" s="736"/>
      <c r="G91" s="736"/>
      <c r="H91" s="736"/>
      <c r="I91" s="736"/>
      <c r="J91" s="736"/>
      <c r="K91" s="736"/>
      <c r="L91" s="736"/>
      <c r="M91" s="736"/>
      <c r="N91" s="736"/>
      <c r="O91" s="736"/>
      <c r="P91" s="736"/>
      <c r="Q91" s="736"/>
      <c r="R91" s="736"/>
      <c r="S91" s="736"/>
      <c r="T91" s="736"/>
      <c r="U91" s="736"/>
      <c r="V91" s="736"/>
      <c r="W91" s="736"/>
      <c r="X91" s="736"/>
      <c r="Y91" s="735"/>
      <c r="Z91" s="735"/>
      <c r="AA91" s="735"/>
      <c r="AB91" s="735"/>
      <c r="AC91" s="735"/>
      <c r="AD91" s="735"/>
      <c r="AE91" s="735"/>
      <c r="AF91" s="735"/>
      <c r="AG91" s="735"/>
      <c r="AH91" s="735"/>
      <c r="AI91" s="735"/>
      <c r="AJ91" s="735"/>
      <c r="AK91" s="735"/>
      <c r="AL91" s="735"/>
      <c r="AM91" s="735"/>
      <c r="AN91" s="735"/>
      <c r="AO91" s="735"/>
      <c r="AP91" s="735"/>
      <c r="AQ91" s="735"/>
      <c r="AR91" s="735"/>
      <c r="AS91" s="735"/>
      <c r="AT91" s="735"/>
      <c r="AU91" s="735"/>
      <c r="AV91" s="735"/>
      <c r="AW91" s="735"/>
      <c r="AX91" s="735"/>
      <c r="AY91" s="735"/>
      <c r="AZ91" s="735"/>
    </row>
    <row r="92" spans="1:52" ht="15">
      <c r="A92" s="735"/>
      <c r="B92" s="736"/>
      <c r="C92" s="736"/>
      <c r="D92" s="736"/>
      <c r="E92" s="736"/>
      <c r="F92" s="736"/>
      <c r="G92" s="736"/>
      <c r="H92" s="736"/>
      <c r="I92" s="736"/>
      <c r="J92" s="736"/>
      <c r="K92" s="736"/>
      <c r="L92" s="736"/>
      <c r="M92" s="736"/>
      <c r="N92" s="736"/>
      <c r="O92" s="736"/>
      <c r="P92" s="736"/>
      <c r="Q92" s="736"/>
      <c r="R92" s="736"/>
      <c r="S92" s="736"/>
      <c r="T92" s="736"/>
      <c r="U92" s="736"/>
      <c r="V92" s="736"/>
      <c r="W92" s="736"/>
      <c r="X92" s="736"/>
      <c r="Y92" s="735"/>
      <c r="Z92" s="735"/>
      <c r="AA92" s="735"/>
      <c r="AB92" s="735"/>
      <c r="AC92" s="735"/>
      <c r="AD92" s="735"/>
      <c r="AE92" s="735"/>
      <c r="AF92" s="735"/>
      <c r="AG92" s="735"/>
      <c r="AH92" s="735"/>
      <c r="AI92" s="735"/>
      <c r="AJ92" s="735"/>
      <c r="AK92" s="735"/>
      <c r="AL92" s="735"/>
      <c r="AM92" s="735"/>
      <c r="AN92" s="735"/>
      <c r="AO92" s="735"/>
      <c r="AP92" s="735"/>
      <c r="AQ92" s="735"/>
      <c r="AR92" s="735"/>
      <c r="AS92" s="735"/>
      <c r="AT92" s="735"/>
      <c r="AU92" s="735"/>
      <c r="AV92" s="735"/>
      <c r="AW92" s="735"/>
      <c r="AX92" s="735"/>
      <c r="AY92" s="735"/>
      <c r="AZ92" s="735"/>
    </row>
    <row r="93" spans="1:52" ht="15">
      <c r="A93" s="735"/>
      <c r="B93" s="736"/>
      <c r="C93" s="736"/>
      <c r="D93" s="736"/>
      <c r="E93" s="736"/>
      <c r="F93" s="736"/>
      <c r="G93" s="736"/>
      <c r="H93" s="736"/>
      <c r="I93" s="736"/>
      <c r="J93" s="736"/>
      <c r="K93" s="736"/>
      <c r="L93" s="736"/>
      <c r="M93" s="736"/>
      <c r="N93" s="736"/>
      <c r="O93" s="736"/>
      <c r="P93" s="736"/>
      <c r="Q93" s="736"/>
      <c r="R93" s="736"/>
      <c r="S93" s="736"/>
      <c r="T93" s="736"/>
      <c r="U93" s="736"/>
      <c r="V93" s="736"/>
      <c r="W93" s="736"/>
      <c r="X93" s="736"/>
      <c r="Y93" s="735"/>
      <c r="Z93" s="735"/>
      <c r="AA93" s="735"/>
      <c r="AB93" s="735"/>
      <c r="AC93" s="735"/>
      <c r="AD93" s="735"/>
      <c r="AE93" s="735"/>
      <c r="AF93" s="735"/>
      <c r="AG93" s="735"/>
      <c r="AH93" s="735"/>
      <c r="AI93" s="735"/>
      <c r="AJ93" s="735"/>
      <c r="AK93" s="735"/>
      <c r="AL93" s="735"/>
      <c r="AM93" s="735"/>
      <c r="AN93" s="735"/>
      <c r="AO93" s="735"/>
      <c r="AP93" s="735"/>
      <c r="AQ93" s="735"/>
      <c r="AR93" s="735"/>
      <c r="AS93" s="735"/>
      <c r="AT93" s="735"/>
      <c r="AU93" s="735"/>
      <c r="AV93" s="735"/>
      <c r="AW93" s="735"/>
      <c r="AX93" s="735"/>
      <c r="AY93" s="735"/>
      <c r="AZ93" s="735"/>
    </row>
    <row r="94" spans="1:52" ht="15">
      <c r="A94" s="735"/>
      <c r="B94" s="736"/>
      <c r="C94" s="736"/>
      <c r="D94" s="736"/>
      <c r="E94" s="736"/>
      <c r="F94" s="736"/>
      <c r="G94" s="736"/>
      <c r="H94" s="736"/>
      <c r="I94" s="736"/>
      <c r="J94" s="736"/>
      <c r="K94" s="736"/>
      <c r="L94" s="736"/>
      <c r="M94" s="736"/>
      <c r="N94" s="736"/>
      <c r="O94" s="736"/>
      <c r="P94" s="736"/>
      <c r="Q94" s="736"/>
      <c r="R94" s="736"/>
      <c r="S94" s="736"/>
      <c r="T94" s="736"/>
      <c r="U94" s="736"/>
      <c r="V94" s="736"/>
      <c r="W94" s="736"/>
      <c r="X94" s="736"/>
      <c r="Y94" s="735"/>
      <c r="Z94" s="735"/>
      <c r="AA94" s="735"/>
      <c r="AB94" s="735"/>
      <c r="AC94" s="735"/>
      <c r="AD94" s="735"/>
      <c r="AE94" s="735"/>
      <c r="AF94" s="735"/>
      <c r="AG94" s="735"/>
      <c r="AH94" s="735"/>
      <c r="AI94" s="735"/>
      <c r="AJ94" s="735"/>
      <c r="AK94" s="735"/>
      <c r="AL94" s="735"/>
      <c r="AM94" s="735"/>
      <c r="AN94" s="735"/>
      <c r="AO94" s="735"/>
      <c r="AP94" s="735"/>
      <c r="AQ94" s="735"/>
      <c r="AR94" s="735"/>
      <c r="AS94" s="735"/>
      <c r="AT94" s="735"/>
      <c r="AU94" s="735"/>
      <c r="AV94" s="735"/>
      <c r="AW94" s="735"/>
      <c r="AX94" s="735"/>
      <c r="AY94" s="735"/>
      <c r="AZ94" s="735"/>
    </row>
    <row r="95" spans="1:52" ht="15">
      <c r="A95" s="735"/>
      <c r="B95" s="736"/>
      <c r="C95" s="736"/>
      <c r="D95" s="736"/>
      <c r="E95" s="736"/>
      <c r="F95" s="736"/>
      <c r="G95" s="736"/>
      <c r="H95" s="736"/>
      <c r="I95" s="736"/>
      <c r="J95" s="736"/>
      <c r="K95" s="736"/>
      <c r="L95" s="736"/>
      <c r="M95" s="736"/>
      <c r="N95" s="736"/>
      <c r="O95" s="736"/>
      <c r="P95" s="736"/>
      <c r="Q95" s="736"/>
      <c r="R95" s="736"/>
      <c r="S95" s="736"/>
      <c r="T95" s="736"/>
      <c r="U95" s="736"/>
      <c r="V95" s="736"/>
      <c r="W95" s="736"/>
      <c r="X95" s="736"/>
      <c r="Y95" s="735"/>
      <c r="Z95" s="735"/>
      <c r="AA95" s="735"/>
      <c r="AB95" s="735"/>
      <c r="AC95" s="735"/>
      <c r="AD95" s="735"/>
      <c r="AE95" s="735"/>
      <c r="AF95" s="735"/>
      <c r="AG95" s="735"/>
      <c r="AH95" s="735"/>
      <c r="AI95" s="735"/>
      <c r="AJ95" s="735"/>
      <c r="AK95" s="735"/>
      <c r="AL95" s="735"/>
      <c r="AM95" s="735"/>
      <c r="AN95" s="735"/>
      <c r="AO95" s="735"/>
      <c r="AP95" s="735"/>
      <c r="AQ95" s="735"/>
      <c r="AR95" s="735"/>
      <c r="AS95" s="735"/>
      <c r="AT95" s="735"/>
      <c r="AU95" s="735"/>
      <c r="AV95" s="735"/>
      <c r="AW95" s="735"/>
      <c r="AX95" s="735"/>
      <c r="AY95" s="735"/>
      <c r="AZ95" s="735"/>
    </row>
    <row r="96" spans="1:52" ht="15">
      <c r="A96" s="735"/>
      <c r="B96" s="736"/>
      <c r="C96" s="736"/>
      <c r="D96" s="736"/>
      <c r="E96" s="736"/>
      <c r="F96" s="736"/>
      <c r="G96" s="736"/>
      <c r="H96" s="736"/>
      <c r="I96" s="736"/>
      <c r="J96" s="736"/>
      <c r="K96" s="736"/>
      <c r="L96" s="736"/>
      <c r="M96" s="736"/>
      <c r="N96" s="736"/>
      <c r="O96" s="736"/>
      <c r="P96" s="736"/>
      <c r="Q96" s="736"/>
      <c r="R96" s="736"/>
      <c r="S96" s="736"/>
      <c r="T96" s="736"/>
      <c r="U96" s="736"/>
      <c r="V96" s="736"/>
      <c r="W96" s="736"/>
      <c r="X96" s="736"/>
      <c r="Y96" s="735"/>
      <c r="Z96" s="735"/>
      <c r="AA96" s="735"/>
      <c r="AB96" s="735"/>
      <c r="AC96" s="735"/>
      <c r="AD96" s="735"/>
      <c r="AE96" s="735"/>
      <c r="AF96" s="735"/>
      <c r="AG96" s="735"/>
      <c r="AH96" s="735"/>
      <c r="AI96" s="735"/>
      <c r="AJ96" s="735"/>
      <c r="AK96" s="735"/>
      <c r="AL96" s="735"/>
      <c r="AM96" s="735"/>
      <c r="AN96" s="735"/>
      <c r="AO96" s="735"/>
      <c r="AP96" s="735"/>
      <c r="AQ96" s="735"/>
      <c r="AR96" s="735"/>
      <c r="AS96" s="735"/>
      <c r="AT96" s="735"/>
      <c r="AU96" s="735"/>
      <c r="AV96" s="735"/>
      <c r="AW96" s="735"/>
      <c r="AX96" s="735"/>
      <c r="AY96" s="735"/>
      <c r="AZ96" s="735"/>
    </row>
    <row r="97" spans="1:52" ht="15">
      <c r="A97" s="735"/>
      <c r="B97" s="736"/>
      <c r="C97" s="736"/>
      <c r="D97" s="736"/>
      <c r="E97" s="736"/>
      <c r="F97" s="736"/>
      <c r="G97" s="736"/>
      <c r="H97" s="736"/>
      <c r="I97" s="736"/>
      <c r="J97" s="736"/>
      <c r="K97" s="736"/>
      <c r="L97" s="736"/>
      <c r="M97" s="736"/>
      <c r="N97" s="736"/>
      <c r="O97" s="736"/>
      <c r="P97" s="736"/>
      <c r="Q97" s="736"/>
      <c r="R97" s="736"/>
      <c r="S97" s="736"/>
      <c r="T97" s="736"/>
      <c r="U97" s="736"/>
      <c r="V97" s="736"/>
      <c r="W97" s="736"/>
      <c r="X97" s="736"/>
      <c r="Y97" s="735"/>
      <c r="Z97" s="735"/>
      <c r="AA97" s="735"/>
      <c r="AB97" s="735"/>
      <c r="AC97" s="735"/>
      <c r="AD97" s="735"/>
      <c r="AE97" s="735"/>
      <c r="AF97" s="735"/>
      <c r="AG97" s="735"/>
      <c r="AH97" s="735"/>
      <c r="AI97" s="735"/>
      <c r="AJ97" s="735"/>
      <c r="AK97" s="735"/>
      <c r="AL97" s="735"/>
      <c r="AM97" s="735"/>
      <c r="AN97" s="735"/>
      <c r="AO97" s="735"/>
      <c r="AP97" s="735"/>
      <c r="AQ97" s="735"/>
      <c r="AR97" s="735"/>
      <c r="AS97" s="735"/>
      <c r="AT97" s="735"/>
      <c r="AU97" s="735"/>
      <c r="AV97" s="735"/>
      <c r="AW97" s="735"/>
      <c r="AX97" s="735"/>
      <c r="AY97" s="735"/>
      <c r="AZ97" s="735"/>
    </row>
    <row r="98" spans="1:52" ht="15">
      <c r="A98" s="735"/>
      <c r="B98" s="736"/>
      <c r="C98" s="736"/>
      <c r="D98" s="736"/>
      <c r="E98" s="736"/>
      <c r="F98" s="736"/>
      <c r="G98" s="736"/>
      <c r="H98" s="736"/>
      <c r="I98" s="736"/>
      <c r="J98" s="736"/>
      <c r="K98" s="736"/>
      <c r="L98" s="736"/>
      <c r="M98" s="736"/>
      <c r="N98" s="736"/>
      <c r="O98" s="736"/>
      <c r="P98" s="736"/>
      <c r="Q98" s="736"/>
      <c r="R98" s="736"/>
      <c r="S98" s="736"/>
      <c r="T98" s="736"/>
      <c r="U98" s="736"/>
      <c r="V98" s="736"/>
      <c r="W98" s="736"/>
      <c r="X98" s="736"/>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5"/>
      <c r="AY98" s="735"/>
      <c r="AZ98" s="735"/>
    </row>
    <row r="99" spans="1:52" ht="15">
      <c r="A99" s="735"/>
      <c r="B99" s="735"/>
      <c r="C99" s="735"/>
      <c r="D99" s="735"/>
      <c r="E99" s="735"/>
      <c r="F99" s="735"/>
      <c r="G99" s="735"/>
      <c r="H99" s="735"/>
      <c r="I99" s="735"/>
      <c r="J99" s="735"/>
      <c r="K99" s="735"/>
      <c r="L99" s="735"/>
      <c r="M99" s="735"/>
      <c r="N99" s="735"/>
      <c r="O99" s="735"/>
      <c r="P99" s="735"/>
      <c r="Q99" s="735"/>
      <c r="R99" s="735"/>
      <c r="S99" s="735"/>
      <c r="T99" s="735"/>
      <c r="U99" s="735"/>
      <c r="V99" s="735"/>
      <c r="W99" s="735"/>
      <c r="X99" s="735"/>
      <c r="Y99" s="735"/>
      <c r="Z99" s="735"/>
      <c r="AA99" s="735"/>
      <c r="AB99" s="735"/>
      <c r="AC99" s="735"/>
      <c r="AD99" s="735"/>
      <c r="AE99" s="735"/>
      <c r="AF99" s="735"/>
      <c r="AG99" s="735"/>
      <c r="AH99" s="735"/>
      <c r="AI99" s="735"/>
      <c r="AJ99" s="735"/>
      <c r="AK99" s="735"/>
      <c r="AL99" s="735"/>
      <c r="AM99" s="735"/>
      <c r="AN99" s="735"/>
      <c r="AO99" s="735"/>
      <c r="AP99" s="735"/>
      <c r="AQ99" s="735"/>
      <c r="AR99" s="735"/>
      <c r="AS99" s="735"/>
      <c r="AT99" s="735"/>
      <c r="AU99" s="735"/>
      <c r="AV99" s="735"/>
      <c r="AW99" s="735"/>
      <c r="AX99" s="735"/>
      <c r="AY99" s="735"/>
      <c r="AZ99" s="735"/>
    </row>
    <row r="100" spans="1:52" ht="15">
      <c r="A100" s="735"/>
      <c r="B100" s="735"/>
      <c r="C100" s="735"/>
      <c r="D100" s="735"/>
      <c r="E100" s="735"/>
      <c r="F100" s="735"/>
      <c r="G100" s="735"/>
      <c r="H100" s="735"/>
      <c r="I100" s="735"/>
      <c r="J100" s="735"/>
      <c r="K100" s="735"/>
      <c r="L100" s="735"/>
      <c r="M100" s="735"/>
      <c r="N100" s="735"/>
      <c r="O100" s="735"/>
      <c r="P100" s="735"/>
      <c r="Q100" s="735"/>
      <c r="R100" s="735"/>
      <c r="S100" s="735"/>
      <c r="T100" s="735"/>
      <c r="U100" s="735"/>
      <c r="V100" s="735"/>
      <c r="W100" s="735"/>
      <c r="X100" s="735"/>
      <c r="Y100" s="735"/>
      <c r="Z100" s="735"/>
      <c r="AA100" s="735"/>
      <c r="AB100" s="735"/>
      <c r="AC100" s="735"/>
      <c r="AD100" s="735"/>
      <c r="AE100" s="735"/>
      <c r="AF100" s="735"/>
      <c r="AG100" s="735"/>
      <c r="AH100" s="735"/>
      <c r="AI100" s="735"/>
      <c r="AJ100" s="735"/>
      <c r="AK100" s="735"/>
      <c r="AL100" s="735"/>
      <c r="AM100" s="735"/>
      <c r="AN100" s="735"/>
      <c r="AO100" s="735"/>
      <c r="AP100" s="735"/>
      <c r="AQ100" s="735"/>
      <c r="AR100" s="735"/>
      <c r="AS100" s="735"/>
      <c r="AT100" s="735"/>
      <c r="AU100" s="735"/>
      <c r="AV100" s="735"/>
      <c r="AW100" s="735"/>
      <c r="AX100" s="735"/>
      <c r="AY100" s="735"/>
      <c r="AZ100" s="735"/>
    </row>
    <row r="101" spans="1:52" ht="15">
      <c r="A101" s="735"/>
      <c r="B101" s="735"/>
      <c r="C101" s="735"/>
      <c r="D101" s="735"/>
      <c r="E101" s="735"/>
      <c r="F101" s="735"/>
      <c r="G101" s="735"/>
      <c r="H101" s="735"/>
      <c r="I101" s="735"/>
      <c r="J101" s="735"/>
      <c r="K101" s="735"/>
      <c r="L101" s="735"/>
      <c r="M101" s="735"/>
      <c r="N101" s="735"/>
      <c r="O101" s="735"/>
      <c r="P101" s="735"/>
      <c r="Q101" s="735"/>
      <c r="R101" s="735"/>
      <c r="S101" s="735"/>
      <c r="T101" s="735"/>
      <c r="U101" s="735"/>
      <c r="V101" s="735"/>
      <c r="W101" s="735"/>
      <c r="X101" s="735"/>
      <c r="Y101" s="735"/>
      <c r="Z101" s="735"/>
      <c r="AA101" s="735"/>
      <c r="AB101" s="735"/>
      <c r="AC101" s="735"/>
      <c r="AD101" s="735"/>
      <c r="AE101" s="735"/>
      <c r="AF101" s="735"/>
      <c r="AG101" s="735"/>
      <c r="AH101" s="735"/>
      <c r="AI101" s="735"/>
      <c r="AJ101" s="735"/>
      <c r="AK101" s="735"/>
      <c r="AL101" s="735"/>
      <c r="AM101" s="735"/>
      <c r="AN101" s="735"/>
      <c r="AO101" s="735"/>
      <c r="AP101" s="735"/>
      <c r="AQ101" s="735"/>
      <c r="AR101" s="735"/>
      <c r="AS101" s="735"/>
      <c r="AT101" s="735"/>
      <c r="AU101" s="735"/>
      <c r="AV101" s="735"/>
      <c r="AW101" s="735"/>
      <c r="AX101" s="735"/>
      <c r="AY101" s="735"/>
      <c r="AZ101" s="735"/>
    </row>
    <row r="102" spans="1:52" ht="15">
      <c r="A102" s="735"/>
      <c r="B102" s="735"/>
      <c r="C102" s="735"/>
      <c r="D102" s="735"/>
      <c r="E102" s="735"/>
      <c r="F102" s="735"/>
      <c r="G102" s="735"/>
      <c r="H102" s="735"/>
      <c r="I102" s="735"/>
      <c r="J102" s="735"/>
      <c r="K102" s="735"/>
      <c r="L102" s="735"/>
      <c r="M102" s="735"/>
      <c r="N102" s="735"/>
      <c r="O102" s="735"/>
      <c r="P102" s="735"/>
      <c r="Q102" s="735"/>
      <c r="R102" s="735"/>
      <c r="S102" s="735"/>
      <c r="T102" s="735"/>
      <c r="U102" s="735"/>
      <c r="V102" s="735"/>
      <c r="W102" s="735"/>
      <c r="X102" s="735"/>
      <c r="Y102" s="735"/>
      <c r="Z102" s="735"/>
      <c r="AA102" s="735"/>
      <c r="AB102" s="735"/>
      <c r="AC102" s="735"/>
      <c r="AD102" s="735"/>
      <c r="AE102" s="735"/>
      <c r="AF102" s="735"/>
      <c r="AG102" s="735"/>
      <c r="AH102" s="735"/>
      <c r="AI102" s="735"/>
      <c r="AJ102" s="735"/>
      <c r="AK102" s="735"/>
      <c r="AL102" s="735"/>
      <c r="AM102" s="735"/>
      <c r="AN102" s="735"/>
      <c r="AO102" s="735"/>
      <c r="AP102" s="735"/>
      <c r="AQ102" s="735"/>
      <c r="AR102" s="735"/>
      <c r="AS102" s="735"/>
      <c r="AT102" s="735"/>
      <c r="AU102" s="735"/>
      <c r="AV102" s="735"/>
      <c r="AW102" s="735"/>
      <c r="AX102" s="735"/>
      <c r="AY102" s="735"/>
      <c r="AZ102" s="735"/>
    </row>
    <row r="103" spans="1:52" ht="15">
      <c r="A103" s="735"/>
      <c r="B103" s="735"/>
      <c r="C103" s="735"/>
      <c r="D103" s="735"/>
      <c r="E103" s="735"/>
      <c r="F103" s="735"/>
      <c r="G103" s="735"/>
      <c r="H103" s="735"/>
      <c r="I103" s="735"/>
      <c r="J103" s="735"/>
      <c r="K103" s="735"/>
      <c r="L103" s="735"/>
      <c r="M103" s="735"/>
      <c r="N103" s="735"/>
      <c r="O103" s="735"/>
      <c r="P103" s="735"/>
      <c r="Q103" s="735"/>
      <c r="R103" s="735"/>
      <c r="S103" s="735"/>
      <c r="T103" s="735"/>
      <c r="U103" s="735"/>
      <c r="V103" s="735"/>
      <c r="W103" s="735"/>
      <c r="X103" s="735"/>
      <c r="Y103" s="735"/>
      <c r="Z103" s="735"/>
      <c r="AA103" s="735"/>
      <c r="AB103" s="735"/>
      <c r="AC103" s="735"/>
      <c r="AD103" s="735"/>
      <c r="AE103" s="735"/>
      <c r="AF103" s="735"/>
      <c r="AG103" s="735"/>
      <c r="AH103" s="735"/>
      <c r="AI103" s="735"/>
      <c r="AJ103" s="735"/>
      <c r="AK103" s="735"/>
      <c r="AL103" s="735"/>
      <c r="AM103" s="735"/>
      <c r="AN103" s="735"/>
      <c r="AO103" s="735"/>
      <c r="AP103" s="735"/>
      <c r="AQ103" s="735"/>
      <c r="AR103" s="735"/>
      <c r="AS103" s="735"/>
      <c r="AT103" s="735"/>
      <c r="AU103" s="735"/>
      <c r="AV103" s="735"/>
      <c r="AW103" s="735"/>
      <c r="AX103" s="735"/>
      <c r="AY103" s="735"/>
      <c r="AZ103" s="735"/>
    </row>
    <row r="104" spans="1:52" ht="15">
      <c r="A104" s="735"/>
      <c r="B104" s="735"/>
      <c r="C104" s="735"/>
      <c r="D104" s="735"/>
      <c r="E104" s="735"/>
      <c r="F104" s="735"/>
      <c r="G104" s="735"/>
      <c r="H104" s="735"/>
      <c r="I104" s="735"/>
      <c r="J104" s="735"/>
      <c r="K104" s="735"/>
      <c r="L104" s="735"/>
      <c r="M104" s="735"/>
      <c r="N104" s="735"/>
      <c r="O104" s="735"/>
      <c r="P104" s="735"/>
      <c r="Q104" s="735"/>
      <c r="R104" s="735"/>
      <c r="S104" s="735"/>
      <c r="T104" s="735"/>
      <c r="U104" s="735"/>
      <c r="V104" s="735"/>
      <c r="W104" s="735"/>
      <c r="X104" s="735"/>
      <c r="Y104" s="735"/>
      <c r="Z104" s="735"/>
      <c r="AA104" s="735"/>
      <c r="AB104" s="735"/>
      <c r="AC104" s="735"/>
      <c r="AD104" s="735"/>
      <c r="AE104" s="735"/>
      <c r="AF104" s="735"/>
      <c r="AG104" s="735"/>
      <c r="AH104" s="735"/>
      <c r="AI104" s="735"/>
      <c r="AJ104" s="735"/>
      <c r="AK104" s="735"/>
      <c r="AL104" s="735"/>
      <c r="AM104" s="735"/>
      <c r="AN104" s="735"/>
      <c r="AO104" s="735"/>
      <c r="AP104" s="735"/>
      <c r="AQ104" s="735"/>
      <c r="AR104" s="735"/>
      <c r="AS104" s="735"/>
      <c r="AT104" s="735"/>
      <c r="AU104" s="735"/>
      <c r="AV104" s="735"/>
      <c r="AW104" s="735"/>
      <c r="AX104" s="735"/>
      <c r="AY104" s="735"/>
      <c r="AZ104" s="735"/>
    </row>
    <row r="105" spans="1:52" ht="15">
      <c r="A105" s="735"/>
      <c r="B105" s="735"/>
      <c r="C105" s="735"/>
      <c r="D105" s="735"/>
      <c r="E105" s="735"/>
      <c r="F105" s="735"/>
      <c r="G105" s="735"/>
      <c r="H105" s="735"/>
      <c r="I105" s="735"/>
      <c r="J105" s="735"/>
      <c r="K105" s="735"/>
      <c r="L105" s="735"/>
      <c r="M105" s="735"/>
      <c r="N105" s="735"/>
      <c r="O105" s="735"/>
      <c r="P105" s="735"/>
      <c r="Q105" s="735"/>
      <c r="R105" s="735"/>
      <c r="S105" s="735"/>
      <c r="T105" s="735"/>
      <c r="U105" s="735"/>
      <c r="V105" s="735"/>
      <c r="W105" s="735"/>
      <c r="X105" s="735"/>
      <c r="Y105" s="735"/>
      <c r="Z105" s="735"/>
      <c r="AA105" s="735"/>
      <c r="AB105" s="735"/>
      <c r="AC105" s="735"/>
      <c r="AD105" s="735"/>
      <c r="AE105" s="735"/>
      <c r="AF105" s="735"/>
      <c r="AG105" s="735"/>
      <c r="AH105" s="735"/>
      <c r="AI105" s="735"/>
      <c r="AJ105" s="735"/>
      <c r="AK105" s="735"/>
      <c r="AL105" s="735"/>
      <c r="AM105" s="735"/>
      <c r="AN105" s="735"/>
      <c r="AO105" s="735"/>
      <c r="AP105" s="735"/>
      <c r="AQ105" s="735"/>
      <c r="AR105" s="735"/>
      <c r="AS105" s="735"/>
      <c r="AT105" s="735"/>
      <c r="AU105" s="735"/>
      <c r="AV105" s="735"/>
      <c r="AW105" s="735"/>
      <c r="AX105" s="735"/>
      <c r="AY105" s="735"/>
      <c r="AZ105" s="735"/>
    </row>
    <row r="106" spans="1:52" ht="15">
      <c r="A106" s="735"/>
      <c r="B106" s="735"/>
      <c r="C106" s="735"/>
      <c r="D106" s="735"/>
      <c r="E106" s="735"/>
      <c r="F106" s="735"/>
      <c r="G106" s="735"/>
      <c r="H106" s="735"/>
      <c r="I106" s="735"/>
      <c r="J106" s="735"/>
      <c r="K106" s="735"/>
      <c r="L106" s="735"/>
      <c r="M106" s="735"/>
      <c r="N106" s="735"/>
      <c r="O106" s="735"/>
      <c r="P106" s="735"/>
      <c r="Q106" s="735"/>
      <c r="R106" s="735"/>
      <c r="S106" s="735"/>
      <c r="T106" s="735"/>
      <c r="U106" s="735"/>
      <c r="V106" s="735"/>
      <c r="W106" s="735"/>
      <c r="X106" s="735"/>
      <c r="Y106" s="735"/>
      <c r="Z106" s="735"/>
      <c r="AA106" s="735"/>
      <c r="AB106" s="735"/>
      <c r="AC106" s="735"/>
      <c r="AD106" s="735"/>
      <c r="AE106" s="735"/>
      <c r="AF106" s="735"/>
      <c r="AG106" s="735"/>
      <c r="AH106" s="735"/>
      <c r="AI106" s="735"/>
      <c r="AJ106" s="735"/>
      <c r="AK106" s="735"/>
      <c r="AL106" s="735"/>
      <c r="AM106" s="735"/>
      <c r="AN106" s="735"/>
      <c r="AO106" s="735"/>
      <c r="AP106" s="735"/>
      <c r="AQ106" s="735"/>
      <c r="AR106" s="735"/>
      <c r="AS106" s="735"/>
      <c r="AT106" s="735"/>
      <c r="AU106" s="735"/>
      <c r="AV106" s="735"/>
      <c r="AW106" s="735"/>
      <c r="AX106" s="735"/>
      <c r="AY106" s="735"/>
      <c r="AZ106" s="735"/>
    </row>
    <row r="107" spans="1:52" ht="15">
      <c r="A107" s="735"/>
      <c r="B107" s="735"/>
      <c r="C107" s="735"/>
      <c r="D107" s="735"/>
      <c r="E107" s="735"/>
      <c r="F107" s="735"/>
      <c r="G107" s="735"/>
      <c r="H107" s="735"/>
      <c r="I107" s="735"/>
      <c r="J107" s="735"/>
      <c r="K107" s="735"/>
      <c r="L107" s="735"/>
      <c r="M107" s="735"/>
      <c r="N107" s="735"/>
      <c r="O107" s="735"/>
      <c r="P107" s="735"/>
      <c r="Q107" s="735"/>
      <c r="R107" s="735"/>
      <c r="S107" s="735"/>
      <c r="T107" s="735"/>
      <c r="U107" s="735"/>
      <c r="V107" s="735"/>
      <c r="W107" s="735"/>
      <c r="X107" s="735"/>
      <c r="Y107" s="735"/>
      <c r="Z107" s="735"/>
      <c r="AA107" s="735"/>
      <c r="AB107" s="735"/>
      <c r="AC107" s="735"/>
      <c r="AD107" s="735"/>
      <c r="AE107" s="735"/>
      <c r="AF107" s="735"/>
      <c r="AG107" s="735"/>
      <c r="AH107" s="735"/>
      <c r="AI107" s="735"/>
      <c r="AJ107" s="735"/>
      <c r="AK107" s="735"/>
      <c r="AL107" s="735"/>
      <c r="AM107" s="735"/>
      <c r="AN107" s="735"/>
      <c r="AO107" s="735"/>
      <c r="AP107" s="735"/>
      <c r="AQ107" s="735"/>
      <c r="AR107" s="735"/>
      <c r="AS107" s="735"/>
      <c r="AT107" s="735"/>
      <c r="AU107" s="735"/>
      <c r="AV107" s="735"/>
      <c r="AW107" s="735"/>
      <c r="AX107" s="735"/>
      <c r="AY107" s="735"/>
      <c r="AZ107" s="735"/>
    </row>
    <row r="108" spans="1:52" ht="15">
      <c r="A108" s="735"/>
      <c r="B108" s="735"/>
      <c r="C108" s="735"/>
      <c r="D108" s="735"/>
      <c r="E108" s="735"/>
      <c r="F108" s="735"/>
      <c r="G108" s="735"/>
      <c r="H108" s="735"/>
      <c r="I108" s="735"/>
      <c r="J108" s="735"/>
      <c r="K108" s="735"/>
      <c r="L108" s="735"/>
      <c r="M108" s="735"/>
      <c r="N108" s="735"/>
      <c r="O108" s="735"/>
      <c r="P108" s="735"/>
      <c r="Q108" s="735"/>
      <c r="R108" s="735"/>
      <c r="S108" s="735"/>
      <c r="T108" s="735"/>
      <c r="U108" s="735"/>
      <c r="V108" s="735"/>
      <c r="W108" s="735"/>
      <c r="X108" s="735"/>
      <c r="Y108" s="735"/>
      <c r="Z108" s="735"/>
      <c r="AA108" s="735"/>
      <c r="AB108" s="735"/>
      <c r="AC108" s="735"/>
      <c r="AD108" s="735"/>
      <c r="AE108" s="735"/>
      <c r="AF108" s="735"/>
      <c r="AG108" s="735"/>
      <c r="AH108" s="735"/>
      <c r="AI108" s="735"/>
      <c r="AJ108" s="735"/>
      <c r="AK108" s="735"/>
      <c r="AL108" s="735"/>
      <c r="AM108" s="735"/>
      <c r="AN108" s="735"/>
      <c r="AO108" s="735"/>
      <c r="AP108" s="735"/>
      <c r="AQ108" s="735"/>
      <c r="AR108" s="735"/>
      <c r="AS108" s="735"/>
      <c r="AT108" s="735"/>
      <c r="AU108" s="735"/>
      <c r="AV108" s="735"/>
      <c r="AW108" s="735"/>
      <c r="AX108" s="735"/>
      <c r="AY108" s="735"/>
      <c r="AZ108" s="735"/>
    </row>
    <row r="109" spans="1:52" ht="15">
      <c r="A109" s="735"/>
      <c r="B109" s="735"/>
      <c r="C109" s="735"/>
      <c r="D109" s="735"/>
      <c r="E109" s="735"/>
      <c r="F109" s="735"/>
      <c r="G109" s="735"/>
      <c r="H109" s="735"/>
      <c r="I109" s="735"/>
      <c r="J109" s="735"/>
      <c r="K109" s="735"/>
      <c r="L109" s="735"/>
      <c r="M109" s="735"/>
      <c r="N109" s="735"/>
      <c r="O109" s="735"/>
      <c r="P109" s="735"/>
      <c r="Q109" s="735"/>
      <c r="R109" s="735"/>
      <c r="S109" s="735"/>
      <c r="T109" s="735"/>
      <c r="U109" s="735"/>
      <c r="V109" s="735"/>
      <c r="W109" s="735"/>
      <c r="X109" s="735"/>
      <c r="Y109" s="735"/>
      <c r="Z109" s="735"/>
      <c r="AA109" s="735"/>
      <c r="AB109" s="735"/>
      <c r="AC109" s="735"/>
      <c r="AD109" s="735"/>
      <c r="AE109" s="735"/>
      <c r="AF109" s="735"/>
      <c r="AG109" s="735"/>
      <c r="AH109" s="735"/>
      <c r="AI109" s="735"/>
      <c r="AJ109" s="735"/>
      <c r="AK109" s="735"/>
      <c r="AL109" s="735"/>
      <c r="AM109" s="735"/>
      <c r="AN109" s="735"/>
      <c r="AO109" s="735"/>
      <c r="AP109" s="735"/>
      <c r="AQ109" s="735"/>
      <c r="AR109" s="735"/>
      <c r="AS109" s="735"/>
      <c r="AT109" s="735"/>
      <c r="AU109" s="735"/>
      <c r="AV109" s="735"/>
      <c r="AW109" s="735"/>
      <c r="AX109" s="735"/>
      <c r="AY109" s="735"/>
      <c r="AZ109" s="735"/>
    </row>
    <row r="110" spans="1:52" ht="15">
      <c r="A110" s="735"/>
      <c r="B110" s="735"/>
      <c r="C110" s="735"/>
      <c r="D110" s="735"/>
      <c r="E110" s="735"/>
      <c r="F110" s="735"/>
      <c r="G110" s="735"/>
      <c r="H110" s="735"/>
      <c r="I110" s="735"/>
      <c r="J110" s="735"/>
      <c r="K110" s="735"/>
      <c r="L110" s="735"/>
      <c r="M110" s="735"/>
      <c r="N110" s="735"/>
      <c r="O110" s="735"/>
      <c r="P110" s="735"/>
      <c r="Q110" s="735"/>
      <c r="R110" s="735"/>
      <c r="S110" s="735"/>
      <c r="T110" s="735"/>
      <c r="U110" s="735"/>
      <c r="V110" s="735"/>
      <c r="W110" s="735"/>
      <c r="X110" s="735"/>
      <c r="Y110" s="735"/>
      <c r="Z110" s="735"/>
      <c r="AA110" s="735"/>
      <c r="AB110" s="735"/>
      <c r="AC110" s="735"/>
      <c r="AD110" s="735"/>
      <c r="AE110" s="735"/>
      <c r="AF110" s="735"/>
      <c r="AG110" s="735"/>
      <c r="AH110" s="735"/>
      <c r="AI110" s="735"/>
      <c r="AJ110" s="735"/>
      <c r="AK110" s="735"/>
      <c r="AL110" s="735"/>
      <c r="AM110" s="735"/>
      <c r="AN110" s="735"/>
      <c r="AO110" s="735"/>
      <c r="AP110" s="735"/>
      <c r="AQ110" s="735"/>
      <c r="AR110" s="735"/>
      <c r="AS110" s="735"/>
      <c r="AT110" s="735"/>
      <c r="AU110" s="735"/>
      <c r="AV110" s="735"/>
      <c r="AW110" s="735"/>
      <c r="AX110" s="735"/>
      <c r="AY110" s="735"/>
      <c r="AZ110" s="735"/>
    </row>
    <row r="111" spans="1:52" ht="15">
      <c r="A111" s="735"/>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735"/>
      <c r="AA111" s="735"/>
      <c r="AB111" s="735"/>
      <c r="AC111" s="735"/>
      <c r="AD111" s="735"/>
      <c r="AE111" s="735"/>
      <c r="AF111" s="735"/>
      <c r="AG111" s="735"/>
      <c r="AH111" s="735"/>
      <c r="AI111" s="735"/>
      <c r="AJ111" s="735"/>
      <c r="AK111" s="735"/>
      <c r="AL111" s="735"/>
      <c r="AM111" s="735"/>
      <c r="AN111" s="735"/>
      <c r="AO111" s="735"/>
      <c r="AP111" s="735"/>
      <c r="AQ111" s="735"/>
      <c r="AR111" s="735"/>
      <c r="AS111" s="735"/>
      <c r="AT111" s="735"/>
      <c r="AU111" s="735"/>
      <c r="AV111" s="735"/>
      <c r="AW111" s="735"/>
      <c r="AX111" s="735"/>
      <c r="AY111" s="735"/>
      <c r="AZ111" s="735"/>
    </row>
    <row r="112" spans="1:52" ht="15">
      <c r="A112" s="735"/>
      <c r="B112" s="735"/>
      <c r="C112" s="735"/>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5"/>
      <c r="AA112" s="735"/>
      <c r="AB112" s="735"/>
      <c r="AC112" s="735"/>
      <c r="AD112" s="735"/>
      <c r="AE112" s="735"/>
      <c r="AF112" s="735"/>
      <c r="AG112" s="735"/>
      <c r="AH112" s="735"/>
      <c r="AI112" s="735"/>
      <c r="AJ112" s="735"/>
      <c r="AK112" s="735"/>
      <c r="AL112" s="735"/>
      <c r="AM112" s="735"/>
      <c r="AN112" s="735"/>
      <c r="AO112" s="735"/>
      <c r="AP112" s="735"/>
      <c r="AQ112" s="735"/>
      <c r="AR112" s="735"/>
      <c r="AS112" s="735"/>
      <c r="AT112" s="735"/>
      <c r="AU112" s="735"/>
      <c r="AV112" s="735"/>
      <c r="AW112" s="735"/>
      <c r="AX112" s="735"/>
      <c r="AY112" s="735"/>
      <c r="AZ112" s="735"/>
    </row>
    <row r="113" spans="1:52" ht="15">
      <c r="A113" s="735"/>
      <c r="B113" s="735"/>
      <c r="C113" s="735"/>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5"/>
      <c r="AA113" s="735"/>
      <c r="AB113" s="735"/>
      <c r="AC113" s="735"/>
      <c r="AD113" s="735"/>
      <c r="AE113" s="735"/>
      <c r="AF113" s="735"/>
      <c r="AG113" s="735"/>
      <c r="AH113" s="735"/>
      <c r="AI113" s="735"/>
      <c r="AJ113" s="735"/>
      <c r="AK113" s="735"/>
      <c r="AL113" s="735"/>
      <c r="AM113" s="735"/>
      <c r="AN113" s="735"/>
      <c r="AO113" s="735"/>
      <c r="AP113" s="735"/>
      <c r="AQ113" s="735"/>
      <c r="AR113" s="735"/>
      <c r="AS113" s="735"/>
      <c r="AT113" s="735"/>
      <c r="AU113" s="735"/>
      <c r="AV113" s="735"/>
      <c r="AW113" s="735"/>
      <c r="AX113" s="735"/>
      <c r="AY113" s="735"/>
      <c r="AZ113" s="735"/>
    </row>
    <row r="114" spans="1:52" ht="15">
      <c r="A114" s="735"/>
      <c r="B114" s="735"/>
      <c r="C114" s="735"/>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5"/>
      <c r="AA114" s="735"/>
      <c r="AB114" s="735"/>
      <c r="AC114" s="735"/>
      <c r="AD114" s="735"/>
      <c r="AE114" s="735"/>
      <c r="AF114" s="735"/>
      <c r="AG114" s="735"/>
      <c r="AH114" s="735"/>
      <c r="AI114" s="735"/>
      <c r="AJ114" s="735"/>
      <c r="AK114" s="735"/>
      <c r="AL114" s="735"/>
      <c r="AM114" s="735"/>
      <c r="AN114" s="735"/>
      <c r="AO114" s="735"/>
      <c r="AP114" s="735"/>
      <c r="AQ114" s="735"/>
      <c r="AR114" s="735"/>
      <c r="AS114" s="735"/>
      <c r="AT114" s="735"/>
      <c r="AU114" s="735"/>
      <c r="AV114" s="735"/>
      <c r="AW114" s="735"/>
      <c r="AX114" s="735"/>
      <c r="AY114" s="735"/>
      <c r="AZ114" s="735"/>
    </row>
    <row r="115" spans="1:52" ht="15">
      <c r="A115" s="735"/>
      <c r="B115" s="735"/>
      <c r="C115" s="735"/>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5"/>
      <c r="AA115" s="735"/>
      <c r="AB115" s="735"/>
      <c r="AC115" s="735"/>
      <c r="AD115" s="735"/>
      <c r="AE115" s="735"/>
      <c r="AF115" s="735"/>
      <c r="AG115" s="735"/>
      <c r="AH115" s="735"/>
      <c r="AI115" s="735"/>
      <c r="AJ115" s="735"/>
      <c r="AK115" s="735"/>
      <c r="AL115" s="735"/>
      <c r="AM115" s="735"/>
      <c r="AN115" s="735"/>
      <c r="AO115" s="735"/>
      <c r="AP115" s="735"/>
      <c r="AQ115" s="735"/>
      <c r="AR115" s="735"/>
      <c r="AS115" s="735"/>
      <c r="AT115" s="735"/>
      <c r="AU115" s="735"/>
      <c r="AV115" s="735"/>
      <c r="AW115" s="735"/>
      <c r="AX115" s="735"/>
      <c r="AY115" s="735"/>
      <c r="AZ115" s="735"/>
    </row>
    <row r="116" spans="1:52" ht="15">
      <c r="A116" s="735"/>
      <c r="B116" s="735"/>
      <c r="C116" s="735"/>
      <c r="D116" s="735"/>
      <c r="E116" s="735"/>
      <c r="F116" s="735"/>
      <c r="G116" s="735"/>
      <c r="H116" s="735"/>
      <c r="I116" s="735"/>
      <c r="J116" s="735"/>
      <c r="K116" s="735"/>
      <c r="L116" s="735"/>
      <c r="M116" s="735"/>
      <c r="N116" s="735"/>
      <c r="O116" s="735"/>
      <c r="P116" s="735"/>
      <c r="Q116" s="735"/>
      <c r="R116" s="735"/>
      <c r="S116" s="735"/>
      <c r="T116" s="735"/>
      <c r="U116" s="735"/>
      <c r="V116" s="735"/>
      <c r="W116" s="735"/>
      <c r="X116" s="735"/>
      <c r="Y116" s="735"/>
      <c r="Z116" s="735"/>
      <c r="AA116" s="735"/>
      <c r="AB116" s="735"/>
      <c r="AC116" s="735"/>
      <c r="AD116" s="735"/>
      <c r="AE116" s="735"/>
      <c r="AF116" s="735"/>
      <c r="AG116" s="735"/>
      <c r="AH116" s="735"/>
      <c r="AI116" s="735"/>
      <c r="AJ116" s="735"/>
      <c r="AK116" s="735"/>
      <c r="AL116" s="735"/>
      <c r="AM116" s="735"/>
      <c r="AN116" s="735"/>
      <c r="AO116" s="735"/>
      <c r="AP116" s="735"/>
      <c r="AQ116" s="735"/>
      <c r="AR116" s="735"/>
      <c r="AS116" s="735"/>
      <c r="AT116" s="735"/>
      <c r="AU116" s="735"/>
      <c r="AV116" s="735"/>
      <c r="AW116" s="735"/>
      <c r="AX116" s="735"/>
      <c r="AY116" s="735"/>
      <c r="AZ116" s="735"/>
    </row>
    <row r="117" spans="1:52" ht="15">
      <c r="A117" s="735"/>
      <c r="B117" s="735"/>
      <c r="C117" s="735"/>
      <c r="D117" s="735"/>
      <c r="E117" s="735"/>
      <c r="F117" s="735"/>
      <c r="G117" s="735"/>
      <c r="H117" s="735"/>
      <c r="I117" s="735"/>
      <c r="J117" s="735"/>
      <c r="K117" s="735"/>
      <c r="L117" s="735"/>
      <c r="M117" s="735"/>
      <c r="N117" s="735"/>
      <c r="O117" s="735"/>
      <c r="P117" s="735"/>
      <c r="Q117" s="735"/>
      <c r="R117" s="735"/>
      <c r="S117" s="735"/>
      <c r="T117" s="735"/>
      <c r="U117" s="735"/>
      <c r="V117" s="735"/>
      <c r="W117" s="735"/>
      <c r="X117" s="735"/>
      <c r="Y117" s="735"/>
      <c r="Z117" s="735"/>
      <c r="AA117" s="735"/>
      <c r="AB117" s="735"/>
      <c r="AC117" s="735"/>
      <c r="AD117" s="735"/>
      <c r="AE117" s="735"/>
      <c r="AF117" s="735"/>
      <c r="AG117" s="735"/>
      <c r="AH117" s="735"/>
      <c r="AI117" s="735"/>
      <c r="AJ117" s="735"/>
      <c r="AK117" s="735"/>
      <c r="AL117" s="735"/>
      <c r="AM117" s="735"/>
      <c r="AN117" s="735"/>
      <c r="AO117" s="735"/>
      <c r="AP117" s="735"/>
      <c r="AQ117" s="735"/>
      <c r="AR117" s="735"/>
      <c r="AS117" s="735"/>
      <c r="AT117" s="735"/>
      <c r="AU117" s="735"/>
      <c r="AV117" s="735"/>
      <c r="AW117" s="735"/>
      <c r="AX117" s="735"/>
      <c r="AY117" s="735"/>
      <c r="AZ117" s="735"/>
    </row>
    <row r="118" spans="1:52" ht="15">
      <c r="A118" s="735"/>
      <c r="B118" s="735"/>
      <c r="C118" s="735"/>
      <c r="D118" s="735"/>
      <c r="E118" s="735"/>
      <c r="F118" s="735"/>
      <c r="G118" s="735"/>
      <c r="H118" s="735"/>
      <c r="I118" s="735"/>
      <c r="J118" s="735"/>
      <c r="K118" s="735"/>
      <c r="L118" s="735"/>
      <c r="M118" s="735"/>
      <c r="N118" s="735"/>
      <c r="O118" s="735"/>
      <c r="P118" s="735"/>
      <c r="Q118" s="735"/>
      <c r="R118" s="735"/>
      <c r="S118" s="735"/>
      <c r="T118" s="735"/>
      <c r="U118" s="735"/>
      <c r="V118" s="735"/>
      <c r="W118" s="735"/>
      <c r="X118" s="735"/>
      <c r="Y118" s="735"/>
      <c r="Z118" s="735"/>
      <c r="AA118" s="735"/>
      <c r="AB118" s="735"/>
      <c r="AC118" s="735"/>
      <c r="AD118" s="735"/>
      <c r="AE118" s="735"/>
      <c r="AF118" s="735"/>
      <c r="AG118" s="735"/>
      <c r="AH118" s="735"/>
      <c r="AI118" s="735"/>
      <c r="AJ118" s="735"/>
      <c r="AK118" s="735"/>
      <c r="AL118" s="735"/>
      <c r="AM118" s="735"/>
      <c r="AN118" s="735"/>
      <c r="AO118" s="735"/>
      <c r="AP118" s="735"/>
      <c r="AQ118" s="735"/>
      <c r="AR118" s="735"/>
      <c r="AS118" s="735"/>
      <c r="AT118" s="735"/>
      <c r="AU118" s="735"/>
      <c r="AV118" s="735"/>
      <c r="AW118" s="735"/>
      <c r="AX118" s="735"/>
      <c r="AY118" s="735"/>
      <c r="AZ118" s="735"/>
    </row>
    <row r="119" spans="1:52" ht="15">
      <c r="A119" s="735"/>
      <c r="B119" s="735"/>
      <c r="C119" s="735"/>
      <c r="D119" s="735"/>
      <c r="E119" s="735"/>
      <c r="F119" s="735"/>
      <c r="G119" s="735"/>
      <c r="H119" s="735"/>
      <c r="I119" s="735"/>
      <c r="J119" s="735"/>
      <c r="K119" s="735"/>
      <c r="L119" s="735"/>
      <c r="M119" s="735"/>
      <c r="N119" s="735"/>
      <c r="O119" s="735"/>
      <c r="P119" s="735"/>
      <c r="Q119" s="735"/>
      <c r="R119" s="735"/>
      <c r="S119" s="735"/>
      <c r="T119" s="735"/>
      <c r="U119" s="735"/>
      <c r="V119" s="735"/>
      <c r="W119" s="735"/>
      <c r="X119" s="735"/>
      <c r="Y119" s="735"/>
      <c r="Z119" s="735"/>
      <c r="AA119" s="735"/>
      <c r="AB119" s="735"/>
      <c r="AC119" s="735"/>
      <c r="AD119" s="735"/>
      <c r="AE119" s="735"/>
      <c r="AF119" s="735"/>
      <c r="AG119" s="735"/>
      <c r="AH119" s="735"/>
      <c r="AI119" s="735"/>
      <c r="AJ119" s="735"/>
      <c r="AK119" s="735"/>
      <c r="AL119" s="735"/>
      <c r="AM119" s="735"/>
      <c r="AN119" s="735"/>
      <c r="AO119" s="735"/>
      <c r="AP119" s="735"/>
      <c r="AQ119" s="735"/>
      <c r="AR119" s="735"/>
      <c r="AS119" s="735"/>
      <c r="AT119" s="735"/>
      <c r="AU119" s="735"/>
      <c r="AV119" s="735"/>
      <c r="AW119" s="735"/>
      <c r="AX119" s="735"/>
      <c r="AY119" s="735"/>
      <c r="AZ119" s="735"/>
    </row>
    <row r="120" spans="1:52" ht="15">
      <c r="A120" s="735"/>
      <c r="B120" s="735"/>
      <c r="C120" s="735"/>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5"/>
      <c r="AA120" s="735"/>
      <c r="AB120" s="735"/>
      <c r="AC120" s="735"/>
      <c r="AD120" s="735"/>
      <c r="AE120" s="735"/>
      <c r="AF120" s="735"/>
      <c r="AG120" s="735"/>
      <c r="AH120" s="735"/>
      <c r="AI120" s="735"/>
      <c r="AJ120" s="735"/>
      <c r="AK120" s="735"/>
      <c r="AL120" s="735"/>
      <c r="AM120" s="735"/>
      <c r="AN120" s="735"/>
      <c r="AO120" s="735"/>
      <c r="AP120" s="735"/>
      <c r="AQ120" s="735"/>
      <c r="AR120" s="735"/>
      <c r="AS120" s="735"/>
      <c r="AT120" s="735"/>
      <c r="AU120" s="735"/>
      <c r="AV120" s="735"/>
      <c r="AW120" s="735"/>
      <c r="AX120" s="735"/>
      <c r="AY120" s="735"/>
      <c r="AZ120" s="735"/>
    </row>
    <row r="121" spans="1:52" ht="15">
      <c r="A121" s="735"/>
      <c r="B121" s="735"/>
      <c r="C121" s="735"/>
      <c r="D121" s="735"/>
      <c r="E121" s="735"/>
      <c r="F121" s="735"/>
      <c r="G121" s="735"/>
      <c r="H121" s="735"/>
      <c r="I121" s="735"/>
      <c r="J121" s="735"/>
      <c r="K121" s="735"/>
      <c r="L121" s="735"/>
      <c r="M121" s="735"/>
      <c r="N121" s="735"/>
      <c r="O121" s="735"/>
      <c r="P121" s="735"/>
      <c r="Q121" s="735"/>
      <c r="R121" s="735"/>
      <c r="S121" s="735"/>
      <c r="T121" s="735"/>
      <c r="U121" s="735"/>
      <c r="V121" s="735"/>
      <c r="W121" s="735"/>
      <c r="X121" s="735"/>
      <c r="Y121" s="735"/>
      <c r="Z121" s="735"/>
      <c r="AA121" s="735"/>
      <c r="AB121" s="735"/>
      <c r="AC121" s="735"/>
      <c r="AD121" s="735"/>
      <c r="AE121" s="735"/>
      <c r="AF121" s="735"/>
      <c r="AG121" s="735"/>
      <c r="AH121" s="735"/>
      <c r="AI121" s="735"/>
      <c r="AJ121" s="735"/>
      <c r="AK121" s="735"/>
      <c r="AL121" s="735"/>
      <c r="AM121" s="735"/>
      <c r="AN121" s="735"/>
      <c r="AO121" s="735"/>
      <c r="AP121" s="735"/>
      <c r="AQ121" s="735"/>
      <c r="AR121" s="735"/>
      <c r="AS121" s="735"/>
      <c r="AT121" s="735"/>
      <c r="AU121" s="735"/>
      <c r="AV121" s="735"/>
      <c r="AW121" s="735"/>
      <c r="AX121" s="735"/>
      <c r="AY121" s="735"/>
      <c r="AZ121" s="735"/>
    </row>
    <row r="122" spans="1:52" ht="15">
      <c r="A122" s="735"/>
      <c r="B122" s="735"/>
      <c r="C122" s="735"/>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5"/>
      <c r="AA122" s="735"/>
      <c r="AB122" s="735"/>
      <c r="AC122" s="735"/>
      <c r="AD122" s="735"/>
      <c r="AE122" s="735"/>
      <c r="AF122" s="735"/>
      <c r="AG122" s="735"/>
      <c r="AH122" s="735"/>
      <c r="AI122" s="735"/>
      <c r="AJ122" s="735"/>
      <c r="AK122" s="735"/>
      <c r="AL122" s="735"/>
      <c r="AM122" s="735"/>
      <c r="AN122" s="735"/>
      <c r="AO122" s="735"/>
      <c r="AP122" s="735"/>
      <c r="AQ122" s="735"/>
      <c r="AR122" s="735"/>
      <c r="AS122" s="735"/>
      <c r="AT122" s="735"/>
      <c r="AU122" s="735"/>
      <c r="AV122" s="735"/>
      <c r="AW122" s="735"/>
      <c r="AX122" s="735"/>
      <c r="AY122" s="735"/>
      <c r="AZ122" s="735"/>
    </row>
    <row r="123" spans="1:52" ht="15">
      <c r="A123" s="735"/>
      <c r="B123" s="735"/>
      <c r="C123" s="735"/>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5"/>
      <c r="AA123" s="735"/>
      <c r="AB123" s="735"/>
      <c r="AC123" s="735"/>
      <c r="AD123" s="735"/>
      <c r="AE123" s="735"/>
      <c r="AF123" s="735"/>
      <c r="AG123" s="735"/>
      <c r="AH123" s="735"/>
      <c r="AI123" s="735"/>
      <c r="AJ123" s="735"/>
      <c r="AK123" s="735"/>
      <c r="AL123" s="735"/>
      <c r="AM123" s="735"/>
      <c r="AN123" s="735"/>
      <c r="AO123" s="735"/>
      <c r="AP123" s="735"/>
      <c r="AQ123" s="735"/>
      <c r="AR123" s="735"/>
      <c r="AS123" s="735"/>
      <c r="AT123" s="735"/>
      <c r="AU123" s="735"/>
      <c r="AV123" s="735"/>
      <c r="AW123" s="735"/>
      <c r="AX123" s="735"/>
      <c r="AY123" s="735"/>
      <c r="AZ123" s="735"/>
    </row>
    <row r="124" spans="1:52" ht="15">
      <c r="A124" s="735"/>
      <c r="B124" s="735"/>
      <c r="C124" s="735"/>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5"/>
      <c r="AA124" s="735"/>
      <c r="AB124" s="735"/>
      <c r="AC124" s="735"/>
      <c r="AD124" s="735"/>
      <c r="AE124" s="735"/>
      <c r="AF124" s="735"/>
      <c r="AG124" s="735"/>
      <c r="AH124" s="735"/>
      <c r="AI124" s="735"/>
      <c r="AJ124" s="735"/>
      <c r="AK124" s="735"/>
      <c r="AL124" s="735"/>
      <c r="AM124" s="735"/>
      <c r="AN124" s="735"/>
      <c r="AO124" s="735"/>
      <c r="AP124" s="735"/>
      <c r="AQ124" s="735"/>
      <c r="AR124" s="735"/>
      <c r="AS124" s="735"/>
      <c r="AT124" s="735"/>
      <c r="AU124" s="735"/>
      <c r="AV124" s="735"/>
      <c r="AW124" s="735"/>
      <c r="AX124" s="735"/>
      <c r="AY124" s="735"/>
      <c r="AZ124" s="735"/>
    </row>
    <row r="125" spans="1:52" ht="15">
      <c r="A125" s="735"/>
      <c r="B125" s="735"/>
      <c r="C125" s="735"/>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5"/>
      <c r="AA125" s="735"/>
      <c r="AB125" s="735"/>
      <c r="AC125" s="735"/>
      <c r="AD125" s="735"/>
      <c r="AE125" s="735"/>
      <c r="AF125" s="735"/>
      <c r="AG125" s="735"/>
      <c r="AH125" s="735"/>
      <c r="AI125" s="735"/>
      <c r="AJ125" s="735"/>
      <c r="AK125" s="735"/>
      <c r="AL125" s="735"/>
      <c r="AM125" s="735"/>
      <c r="AN125" s="735"/>
      <c r="AO125" s="735"/>
      <c r="AP125" s="735"/>
      <c r="AQ125" s="735"/>
      <c r="AR125" s="735"/>
      <c r="AS125" s="735"/>
      <c r="AT125" s="735"/>
      <c r="AU125" s="735"/>
      <c r="AV125" s="735"/>
      <c r="AW125" s="735"/>
      <c r="AX125" s="735"/>
      <c r="AY125" s="735"/>
      <c r="AZ125" s="735"/>
    </row>
    <row r="126" spans="1:52" ht="15">
      <c r="A126" s="735"/>
      <c r="B126" s="735"/>
      <c r="C126" s="735"/>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5"/>
      <c r="AA126" s="735"/>
      <c r="AB126" s="735"/>
      <c r="AC126" s="735"/>
      <c r="AD126" s="735"/>
      <c r="AE126" s="735"/>
      <c r="AF126" s="735"/>
      <c r="AG126" s="735"/>
      <c r="AH126" s="735"/>
      <c r="AI126" s="735"/>
      <c r="AJ126" s="735"/>
      <c r="AK126" s="735"/>
      <c r="AL126" s="735"/>
      <c r="AM126" s="735"/>
      <c r="AN126" s="735"/>
      <c r="AO126" s="735"/>
      <c r="AP126" s="735"/>
      <c r="AQ126" s="735"/>
      <c r="AR126" s="735"/>
      <c r="AS126" s="735"/>
      <c r="AT126" s="735"/>
      <c r="AU126" s="735"/>
      <c r="AV126" s="735"/>
      <c r="AW126" s="735"/>
      <c r="AX126" s="735"/>
      <c r="AY126" s="735"/>
      <c r="AZ126" s="735"/>
    </row>
    <row r="127" spans="1:52" ht="15">
      <c r="A127" s="735"/>
      <c r="B127" s="735"/>
      <c r="C127" s="735"/>
      <c r="D127" s="735"/>
      <c r="E127" s="735"/>
      <c r="F127" s="735"/>
      <c r="G127" s="735"/>
      <c r="H127" s="735"/>
      <c r="I127" s="735"/>
      <c r="J127" s="735"/>
      <c r="K127" s="735"/>
      <c r="L127" s="735"/>
      <c r="M127" s="735"/>
      <c r="N127" s="735"/>
      <c r="O127" s="735"/>
      <c r="P127" s="735"/>
      <c r="Q127" s="735"/>
      <c r="R127" s="735"/>
      <c r="S127" s="735"/>
      <c r="T127" s="735"/>
      <c r="U127" s="735"/>
      <c r="V127" s="735"/>
      <c r="W127" s="735"/>
      <c r="X127" s="735"/>
      <c r="Y127" s="735"/>
      <c r="Z127" s="735"/>
      <c r="AA127" s="735"/>
      <c r="AB127" s="735"/>
      <c r="AC127" s="735"/>
      <c r="AD127" s="735"/>
      <c r="AE127" s="735"/>
      <c r="AF127" s="735"/>
      <c r="AG127" s="735"/>
      <c r="AH127" s="735"/>
      <c r="AI127" s="735"/>
      <c r="AJ127" s="735"/>
      <c r="AK127" s="735"/>
      <c r="AL127" s="735"/>
      <c r="AM127" s="735"/>
      <c r="AN127" s="735"/>
      <c r="AO127" s="735"/>
      <c r="AP127" s="735"/>
      <c r="AQ127" s="735"/>
      <c r="AR127" s="735"/>
      <c r="AS127" s="735"/>
      <c r="AT127" s="735"/>
      <c r="AU127" s="735"/>
      <c r="AV127" s="735"/>
      <c r="AW127" s="735"/>
      <c r="AX127" s="735"/>
      <c r="AY127" s="735"/>
      <c r="AZ127" s="735"/>
    </row>
    <row r="128" spans="1:52" ht="15">
      <c r="A128" s="735"/>
      <c r="B128" s="735"/>
      <c r="C128" s="735"/>
      <c r="D128" s="735"/>
      <c r="E128" s="735"/>
      <c r="F128" s="735"/>
      <c r="G128" s="735"/>
      <c r="H128" s="735"/>
      <c r="I128" s="735"/>
      <c r="J128" s="735"/>
      <c r="K128" s="735"/>
      <c r="L128" s="735"/>
      <c r="M128" s="735"/>
      <c r="N128" s="735"/>
      <c r="O128" s="735"/>
      <c r="P128" s="735"/>
      <c r="Q128" s="735"/>
      <c r="R128" s="735"/>
      <c r="S128" s="735"/>
      <c r="T128" s="735"/>
      <c r="U128" s="735"/>
      <c r="V128" s="735"/>
      <c r="W128" s="735"/>
      <c r="X128" s="735"/>
      <c r="Y128" s="735"/>
      <c r="Z128" s="735"/>
      <c r="AA128" s="735"/>
      <c r="AB128" s="735"/>
      <c r="AC128" s="735"/>
      <c r="AD128" s="735"/>
      <c r="AE128" s="735"/>
      <c r="AF128" s="735"/>
      <c r="AG128" s="735"/>
      <c r="AH128" s="735"/>
      <c r="AI128" s="735"/>
      <c r="AJ128" s="735"/>
      <c r="AK128" s="735"/>
      <c r="AL128" s="735"/>
      <c r="AM128" s="735"/>
      <c r="AN128" s="735"/>
      <c r="AO128" s="735"/>
      <c r="AP128" s="735"/>
      <c r="AQ128" s="735"/>
      <c r="AR128" s="735"/>
      <c r="AS128" s="735"/>
      <c r="AT128" s="735"/>
      <c r="AU128" s="735"/>
      <c r="AV128" s="735"/>
      <c r="AW128" s="735"/>
      <c r="AX128" s="735"/>
      <c r="AY128" s="735"/>
      <c r="AZ128" s="735"/>
    </row>
    <row r="129" spans="1:52" ht="15">
      <c r="A129" s="735"/>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5"/>
      <c r="X129" s="735"/>
      <c r="Y129" s="735"/>
      <c r="Z129" s="735"/>
      <c r="AA129" s="735"/>
      <c r="AB129" s="735"/>
      <c r="AC129" s="735"/>
      <c r="AD129" s="735"/>
      <c r="AE129" s="735"/>
      <c r="AF129" s="735"/>
      <c r="AG129" s="735"/>
      <c r="AH129" s="735"/>
      <c r="AI129" s="735"/>
      <c r="AJ129" s="735"/>
      <c r="AK129" s="735"/>
      <c r="AL129" s="735"/>
      <c r="AM129" s="735"/>
      <c r="AN129" s="735"/>
      <c r="AO129" s="735"/>
      <c r="AP129" s="735"/>
      <c r="AQ129" s="735"/>
      <c r="AR129" s="735"/>
      <c r="AS129" s="735"/>
      <c r="AT129" s="735"/>
      <c r="AU129" s="735"/>
      <c r="AV129" s="735"/>
      <c r="AW129" s="735"/>
      <c r="AX129" s="735"/>
      <c r="AY129" s="735"/>
      <c r="AZ129" s="735"/>
    </row>
    <row r="130" spans="1:52" ht="15">
      <c r="A130" s="735"/>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5"/>
      <c r="X130" s="735"/>
      <c r="Y130" s="735"/>
      <c r="Z130" s="735"/>
      <c r="AA130" s="735"/>
      <c r="AB130" s="735"/>
      <c r="AC130" s="735"/>
      <c r="AD130" s="735"/>
      <c r="AE130" s="735"/>
      <c r="AF130" s="735"/>
      <c r="AG130" s="735"/>
      <c r="AH130" s="735"/>
      <c r="AI130" s="735"/>
      <c r="AJ130" s="735"/>
      <c r="AK130" s="735"/>
      <c r="AL130" s="735"/>
      <c r="AM130" s="735"/>
      <c r="AN130" s="735"/>
      <c r="AO130" s="735"/>
      <c r="AP130" s="735"/>
      <c r="AQ130" s="735"/>
      <c r="AR130" s="735"/>
      <c r="AS130" s="735"/>
      <c r="AT130" s="735"/>
      <c r="AU130" s="735"/>
      <c r="AV130" s="735"/>
      <c r="AW130" s="735"/>
      <c r="AX130" s="735"/>
      <c r="AY130" s="735"/>
      <c r="AZ130" s="735"/>
    </row>
    <row r="131" spans="1:52" ht="15">
      <c r="A131" s="735"/>
      <c r="B131" s="735"/>
      <c r="C131" s="735"/>
      <c r="D131" s="735"/>
      <c r="E131" s="735"/>
      <c r="F131" s="735"/>
      <c r="G131" s="735"/>
      <c r="H131" s="735"/>
      <c r="I131" s="735"/>
      <c r="J131" s="735"/>
      <c r="K131" s="735"/>
      <c r="L131" s="735"/>
      <c r="M131" s="735"/>
      <c r="N131" s="735"/>
      <c r="O131" s="735"/>
      <c r="P131" s="735"/>
      <c r="Q131" s="735"/>
      <c r="R131" s="735"/>
      <c r="S131" s="735"/>
      <c r="T131" s="735"/>
      <c r="U131" s="735"/>
      <c r="V131" s="735"/>
      <c r="W131" s="735"/>
      <c r="X131" s="735"/>
      <c r="Y131" s="735"/>
      <c r="Z131" s="735"/>
      <c r="AA131" s="735"/>
      <c r="AB131" s="735"/>
      <c r="AC131" s="735"/>
      <c r="AD131" s="735"/>
      <c r="AE131" s="735"/>
      <c r="AF131" s="735"/>
      <c r="AG131" s="735"/>
      <c r="AH131" s="735"/>
      <c r="AI131" s="735"/>
      <c r="AJ131" s="735"/>
      <c r="AK131" s="735"/>
      <c r="AL131" s="735"/>
      <c r="AM131" s="735"/>
      <c r="AN131" s="735"/>
      <c r="AO131" s="735"/>
      <c r="AP131" s="735"/>
      <c r="AQ131" s="735"/>
      <c r="AR131" s="735"/>
      <c r="AS131" s="735"/>
      <c r="AT131" s="735"/>
      <c r="AU131" s="735"/>
      <c r="AV131" s="735"/>
      <c r="AW131" s="735"/>
      <c r="AX131" s="735"/>
      <c r="AY131" s="735"/>
      <c r="AZ131" s="735"/>
    </row>
    <row r="132" spans="1:52" ht="15">
      <c r="A132" s="735"/>
      <c r="B132" s="735"/>
      <c r="C132" s="735"/>
      <c r="D132" s="735"/>
      <c r="E132" s="735"/>
      <c r="F132" s="735"/>
      <c r="G132" s="735"/>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5"/>
      <c r="AY132" s="735"/>
      <c r="AZ132" s="735"/>
    </row>
    <row r="133" spans="1:52" ht="15">
      <c r="A133" s="735"/>
      <c r="B133" s="735"/>
      <c r="C133" s="735"/>
      <c r="D133" s="735"/>
      <c r="E133" s="735"/>
      <c r="F133" s="735"/>
      <c r="G133" s="735"/>
      <c r="H133" s="735"/>
      <c r="I133" s="735"/>
      <c r="J133" s="735"/>
      <c r="K133" s="735"/>
      <c r="L133" s="735"/>
      <c r="M133" s="735"/>
      <c r="N133" s="735"/>
      <c r="O133" s="735"/>
      <c r="P133" s="735"/>
      <c r="Q133" s="735"/>
      <c r="R133" s="735"/>
      <c r="S133" s="735"/>
      <c r="T133" s="735"/>
      <c r="U133" s="735"/>
      <c r="V133" s="735"/>
      <c r="W133" s="735"/>
      <c r="X133" s="735"/>
      <c r="Y133" s="735"/>
      <c r="Z133" s="735"/>
      <c r="AA133" s="735"/>
      <c r="AB133" s="735"/>
      <c r="AC133" s="735"/>
      <c r="AD133" s="735"/>
      <c r="AE133" s="735"/>
      <c r="AF133" s="735"/>
      <c r="AG133" s="735"/>
      <c r="AH133" s="735"/>
      <c r="AI133" s="735"/>
      <c r="AJ133" s="735"/>
      <c r="AK133" s="735"/>
      <c r="AL133" s="735"/>
      <c r="AM133" s="735"/>
      <c r="AN133" s="735"/>
      <c r="AO133" s="735"/>
      <c r="AP133" s="735"/>
      <c r="AQ133" s="735"/>
      <c r="AR133" s="735"/>
      <c r="AS133" s="735"/>
      <c r="AT133" s="735"/>
      <c r="AU133" s="735"/>
      <c r="AV133" s="735"/>
      <c r="AW133" s="735"/>
      <c r="AX133" s="735"/>
      <c r="AY133" s="735"/>
      <c r="AZ133" s="735"/>
    </row>
    <row r="134" spans="1:52" ht="15">
      <c r="A134" s="735"/>
      <c r="B134" s="735"/>
      <c r="C134" s="735"/>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c r="AB134" s="735"/>
      <c r="AC134" s="735"/>
      <c r="AD134" s="735"/>
      <c r="AE134" s="735"/>
      <c r="AF134" s="735"/>
      <c r="AG134" s="735"/>
      <c r="AH134" s="735"/>
      <c r="AI134" s="735"/>
      <c r="AJ134" s="735"/>
      <c r="AK134" s="735"/>
      <c r="AL134" s="735"/>
      <c r="AM134" s="735"/>
      <c r="AN134" s="735"/>
      <c r="AO134" s="735"/>
      <c r="AP134" s="735"/>
      <c r="AQ134" s="735"/>
      <c r="AR134" s="735"/>
      <c r="AS134" s="735"/>
      <c r="AT134" s="735"/>
      <c r="AU134" s="735"/>
      <c r="AV134" s="735"/>
      <c r="AW134" s="735"/>
      <c r="AX134" s="735"/>
      <c r="AY134" s="735"/>
      <c r="AZ134" s="735"/>
    </row>
    <row r="135" spans="1:52" ht="15">
      <c r="A135" s="735"/>
      <c r="B135" s="735"/>
      <c r="C135" s="735"/>
      <c r="D135" s="735"/>
      <c r="E135" s="735"/>
      <c r="F135" s="735"/>
      <c r="G135" s="735"/>
      <c r="H135" s="735"/>
      <c r="I135" s="735"/>
      <c r="J135" s="735"/>
      <c r="K135" s="735"/>
      <c r="L135" s="735"/>
      <c r="M135" s="735"/>
      <c r="N135" s="735"/>
      <c r="O135" s="735"/>
      <c r="P135" s="735"/>
      <c r="Q135" s="735"/>
      <c r="R135" s="735"/>
      <c r="S135" s="735"/>
      <c r="T135" s="735"/>
      <c r="U135" s="735"/>
      <c r="V135" s="735"/>
      <c r="W135" s="735"/>
      <c r="X135" s="735"/>
      <c r="Y135" s="735"/>
      <c r="Z135" s="735"/>
      <c r="AA135" s="735"/>
      <c r="AB135" s="735"/>
      <c r="AC135" s="735"/>
      <c r="AD135" s="735"/>
      <c r="AE135" s="735"/>
      <c r="AF135" s="735"/>
      <c r="AG135" s="735"/>
      <c r="AH135" s="735"/>
      <c r="AI135" s="735"/>
      <c r="AJ135" s="735"/>
      <c r="AK135" s="735"/>
      <c r="AL135" s="735"/>
      <c r="AM135" s="735"/>
      <c r="AN135" s="735"/>
      <c r="AO135" s="735"/>
      <c r="AP135" s="735"/>
      <c r="AQ135" s="735"/>
      <c r="AR135" s="735"/>
      <c r="AS135" s="735"/>
      <c r="AT135" s="735"/>
      <c r="AU135" s="735"/>
      <c r="AV135" s="735"/>
      <c r="AW135" s="735"/>
      <c r="AX135" s="735"/>
      <c r="AY135" s="735"/>
      <c r="AZ135" s="735"/>
    </row>
    <row r="136" spans="1:52" ht="15">
      <c r="A136" s="735"/>
      <c r="B136" s="735"/>
      <c r="C136" s="735"/>
      <c r="D136" s="735"/>
      <c r="E136" s="735"/>
      <c r="F136" s="735"/>
      <c r="G136" s="735"/>
      <c r="H136" s="735"/>
      <c r="I136" s="735"/>
      <c r="J136" s="735"/>
      <c r="K136" s="735"/>
      <c r="L136" s="735"/>
      <c r="M136" s="735"/>
      <c r="N136" s="735"/>
      <c r="O136" s="735"/>
      <c r="P136" s="735"/>
      <c r="Q136" s="735"/>
      <c r="R136" s="735"/>
      <c r="S136" s="735"/>
      <c r="T136" s="735"/>
      <c r="U136" s="735"/>
      <c r="V136" s="735"/>
      <c r="W136" s="735"/>
      <c r="X136" s="735"/>
      <c r="Y136" s="735"/>
      <c r="Z136" s="735"/>
      <c r="AA136" s="735"/>
      <c r="AB136" s="735"/>
      <c r="AC136" s="735"/>
      <c r="AD136" s="735"/>
      <c r="AE136" s="735"/>
      <c r="AF136" s="735"/>
      <c r="AG136" s="735"/>
      <c r="AH136" s="735"/>
      <c r="AI136" s="735"/>
      <c r="AJ136" s="735"/>
      <c r="AK136" s="735"/>
      <c r="AL136" s="735"/>
      <c r="AM136" s="735"/>
      <c r="AN136" s="735"/>
      <c r="AO136" s="735"/>
      <c r="AP136" s="735"/>
      <c r="AQ136" s="735"/>
      <c r="AR136" s="735"/>
      <c r="AS136" s="735"/>
      <c r="AT136" s="735"/>
      <c r="AU136" s="735"/>
      <c r="AV136" s="735"/>
      <c r="AW136" s="735"/>
      <c r="AX136" s="735"/>
      <c r="AY136" s="735"/>
      <c r="AZ136" s="735"/>
    </row>
    <row r="137" spans="1:52" ht="15">
      <c r="A137" s="735"/>
      <c r="B137" s="735"/>
      <c r="C137" s="735"/>
      <c r="D137" s="735"/>
      <c r="E137" s="735"/>
      <c r="F137" s="735"/>
      <c r="G137" s="735"/>
      <c r="H137" s="735"/>
      <c r="I137" s="735"/>
      <c r="J137" s="735"/>
      <c r="K137" s="735"/>
      <c r="L137" s="735"/>
      <c r="M137" s="735"/>
      <c r="N137" s="735"/>
      <c r="O137" s="735"/>
      <c r="P137" s="735"/>
      <c r="Q137" s="735"/>
      <c r="R137" s="735"/>
      <c r="S137" s="735"/>
      <c r="T137" s="735"/>
      <c r="U137" s="735"/>
      <c r="V137" s="735"/>
      <c r="W137" s="735"/>
      <c r="X137" s="735"/>
      <c r="Y137" s="735"/>
      <c r="Z137" s="735"/>
      <c r="AA137" s="735"/>
      <c r="AB137" s="735"/>
      <c r="AC137" s="735"/>
      <c r="AD137" s="735"/>
      <c r="AE137" s="735"/>
      <c r="AF137" s="735"/>
      <c r="AG137" s="735"/>
      <c r="AH137" s="735"/>
      <c r="AI137" s="735"/>
      <c r="AJ137" s="735"/>
      <c r="AK137" s="735"/>
      <c r="AL137" s="735"/>
      <c r="AM137" s="735"/>
      <c r="AN137" s="735"/>
      <c r="AO137" s="735"/>
      <c r="AP137" s="735"/>
      <c r="AQ137" s="735"/>
      <c r="AR137" s="735"/>
      <c r="AS137" s="735"/>
      <c r="AT137" s="735"/>
      <c r="AU137" s="735"/>
      <c r="AV137" s="735"/>
      <c r="AW137" s="735"/>
      <c r="AX137" s="735"/>
      <c r="AY137" s="735"/>
      <c r="AZ137" s="735"/>
    </row>
    <row r="138" spans="1:52" ht="15">
      <c r="A138" s="735"/>
      <c r="B138" s="735"/>
      <c r="C138" s="735"/>
      <c r="D138" s="735"/>
      <c r="E138" s="735"/>
      <c r="F138" s="735"/>
      <c r="G138" s="735"/>
      <c r="H138" s="735"/>
      <c r="I138" s="735"/>
      <c r="J138" s="735"/>
      <c r="K138" s="735"/>
      <c r="L138" s="735"/>
      <c r="M138" s="735"/>
      <c r="N138" s="735"/>
      <c r="O138" s="735"/>
      <c r="P138" s="735"/>
      <c r="Q138" s="735"/>
      <c r="R138" s="735"/>
      <c r="S138" s="735"/>
      <c r="T138" s="735"/>
      <c r="U138" s="735"/>
      <c r="V138" s="735"/>
      <c r="W138" s="735"/>
      <c r="X138" s="735"/>
      <c r="Y138" s="735"/>
      <c r="Z138" s="735"/>
      <c r="AA138" s="735"/>
      <c r="AB138" s="735"/>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row>
    <row r="139" spans="1:52" ht="15">
      <c r="A139" s="735"/>
      <c r="B139" s="735"/>
      <c r="C139" s="735"/>
      <c r="D139" s="735"/>
      <c r="E139" s="735"/>
      <c r="F139" s="735"/>
      <c r="G139" s="735"/>
      <c r="H139" s="735"/>
      <c r="I139" s="735"/>
      <c r="J139" s="735"/>
      <c r="K139" s="735"/>
      <c r="L139" s="735"/>
      <c r="M139" s="735"/>
      <c r="N139" s="735"/>
      <c r="O139" s="735"/>
      <c r="P139" s="735"/>
      <c r="Q139" s="735"/>
      <c r="R139" s="735"/>
      <c r="S139" s="735"/>
      <c r="T139" s="735"/>
      <c r="U139" s="735"/>
      <c r="V139" s="735"/>
      <c r="W139" s="735"/>
      <c r="X139" s="735"/>
      <c r="Y139" s="735"/>
      <c r="Z139" s="735"/>
      <c r="AA139" s="735"/>
      <c r="AB139" s="735"/>
      <c r="AC139" s="735"/>
      <c r="AD139" s="735"/>
      <c r="AE139" s="735"/>
      <c r="AF139" s="735"/>
      <c r="AG139" s="735"/>
      <c r="AH139" s="735"/>
      <c r="AI139" s="735"/>
      <c r="AJ139" s="735"/>
      <c r="AK139" s="735"/>
      <c r="AL139" s="735"/>
      <c r="AM139" s="735"/>
      <c r="AN139" s="735"/>
      <c r="AO139" s="735"/>
      <c r="AP139" s="735"/>
      <c r="AQ139" s="735"/>
      <c r="AR139" s="735"/>
      <c r="AS139" s="735"/>
      <c r="AT139" s="735"/>
      <c r="AU139" s="735"/>
      <c r="AV139" s="735"/>
      <c r="AW139" s="735"/>
      <c r="AX139" s="735"/>
      <c r="AY139" s="735"/>
      <c r="AZ139" s="735"/>
    </row>
    <row r="140" spans="1:52" ht="15">
      <c r="A140" s="735"/>
      <c r="B140" s="735"/>
      <c r="C140" s="735"/>
      <c r="D140" s="735"/>
      <c r="E140" s="735"/>
      <c r="F140" s="735"/>
      <c r="G140" s="735"/>
      <c r="H140" s="735"/>
      <c r="I140" s="735"/>
      <c r="J140" s="735"/>
      <c r="K140" s="735"/>
      <c r="L140" s="735"/>
      <c r="M140" s="735"/>
      <c r="N140" s="735"/>
      <c r="O140" s="735"/>
      <c r="P140" s="735"/>
      <c r="Q140" s="735"/>
      <c r="R140" s="735"/>
      <c r="S140" s="735"/>
      <c r="T140" s="735"/>
      <c r="U140" s="735"/>
      <c r="V140" s="735"/>
      <c r="W140" s="735"/>
      <c r="X140" s="735"/>
      <c r="Y140" s="735"/>
      <c r="Z140" s="735"/>
      <c r="AA140" s="735"/>
      <c r="AB140" s="735"/>
      <c r="AC140" s="735"/>
      <c r="AD140" s="735"/>
      <c r="AE140" s="735"/>
      <c r="AF140" s="735"/>
      <c r="AG140" s="735"/>
      <c r="AH140" s="735"/>
      <c r="AI140" s="735"/>
      <c r="AJ140" s="735"/>
      <c r="AK140" s="735"/>
      <c r="AL140" s="735"/>
      <c r="AM140" s="735"/>
      <c r="AN140" s="735"/>
      <c r="AO140" s="735"/>
      <c r="AP140" s="735"/>
      <c r="AQ140" s="735"/>
      <c r="AR140" s="735"/>
      <c r="AS140" s="735"/>
      <c r="AT140" s="735"/>
      <c r="AU140" s="735"/>
      <c r="AV140" s="735"/>
      <c r="AW140" s="735"/>
      <c r="AX140" s="735"/>
      <c r="AY140" s="735"/>
      <c r="AZ140" s="735"/>
    </row>
    <row r="141" spans="1:52" ht="15">
      <c r="A141" s="735"/>
      <c r="B141" s="735"/>
      <c r="C141" s="735"/>
      <c r="D141" s="735"/>
      <c r="E141" s="735"/>
      <c r="F141" s="735"/>
      <c r="G141" s="735"/>
      <c r="H141" s="735"/>
      <c r="I141" s="735"/>
      <c r="J141" s="735"/>
      <c r="K141" s="735"/>
      <c r="L141" s="735"/>
      <c r="M141" s="735"/>
      <c r="N141" s="735"/>
      <c r="O141" s="735"/>
      <c r="P141" s="735"/>
      <c r="Q141" s="735"/>
      <c r="R141" s="735"/>
      <c r="S141" s="735"/>
      <c r="T141" s="735"/>
      <c r="U141" s="735"/>
      <c r="V141" s="735"/>
      <c r="W141" s="735"/>
      <c r="X141" s="735"/>
      <c r="Y141" s="735"/>
      <c r="Z141" s="735"/>
      <c r="AA141" s="735"/>
      <c r="AB141" s="735"/>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row>
    <row r="142" spans="1:52" ht="15">
      <c r="A142" s="735"/>
      <c r="B142" s="735"/>
      <c r="C142" s="735"/>
      <c r="D142" s="735"/>
      <c r="E142" s="735"/>
      <c r="F142" s="735"/>
      <c r="G142" s="735"/>
      <c r="H142" s="735"/>
      <c r="I142" s="735"/>
      <c r="J142" s="735"/>
      <c r="K142" s="735"/>
      <c r="L142" s="735"/>
      <c r="M142" s="735"/>
      <c r="N142" s="735"/>
      <c r="O142" s="735"/>
      <c r="P142" s="735"/>
      <c r="Q142" s="735"/>
      <c r="R142" s="735"/>
      <c r="S142" s="735"/>
      <c r="T142" s="735"/>
      <c r="U142" s="735"/>
      <c r="V142" s="735"/>
      <c r="W142" s="735"/>
      <c r="X142" s="735"/>
      <c r="Y142" s="735"/>
      <c r="Z142" s="735"/>
      <c r="AA142" s="735"/>
      <c r="AB142" s="735"/>
      <c r="AC142" s="735"/>
      <c r="AD142" s="735"/>
      <c r="AE142" s="735"/>
      <c r="AF142" s="735"/>
      <c r="AG142" s="735"/>
      <c r="AH142" s="735"/>
      <c r="AI142" s="735"/>
      <c r="AJ142" s="735"/>
      <c r="AK142" s="735"/>
      <c r="AL142" s="735"/>
      <c r="AM142" s="735"/>
      <c r="AN142" s="735"/>
      <c r="AO142" s="735"/>
      <c r="AP142" s="735"/>
      <c r="AQ142" s="735"/>
      <c r="AR142" s="735"/>
      <c r="AS142" s="735"/>
      <c r="AT142" s="735"/>
      <c r="AU142" s="735"/>
      <c r="AV142" s="735"/>
      <c r="AW142" s="735"/>
      <c r="AX142" s="735"/>
      <c r="AY142" s="735"/>
      <c r="AZ142" s="735"/>
    </row>
    <row r="143" spans="1:52" ht="15">
      <c r="A143" s="735"/>
      <c r="B143" s="735"/>
      <c r="C143" s="735"/>
      <c r="D143" s="735"/>
      <c r="E143" s="735"/>
      <c r="F143" s="735"/>
      <c r="G143" s="735"/>
      <c r="H143" s="735"/>
      <c r="I143" s="735"/>
      <c r="J143" s="735"/>
      <c r="K143" s="735"/>
      <c r="L143" s="735"/>
      <c r="M143" s="735"/>
      <c r="N143" s="735"/>
      <c r="O143" s="735"/>
      <c r="P143" s="735"/>
      <c r="Q143" s="735"/>
      <c r="R143" s="735"/>
      <c r="S143" s="735"/>
      <c r="T143" s="735"/>
      <c r="U143" s="735"/>
      <c r="V143" s="735"/>
      <c r="W143" s="735"/>
      <c r="X143" s="735"/>
      <c r="Y143" s="735"/>
      <c r="Z143" s="735"/>
      <c r="AA143" s="735"/>
      <c r="AB143" s="735"/>
      <c r="AC143" s="735"/>
      <c r="AD143" s="735"/>
      <c r="AE143" s="735"/>
      <c r="AF143" s="735"/>
      <c r="AG143" s="735"/>
      <c r="AH143" s="735"/>
      <c r="AI143" s="735"/>
      <c r="AJ143" s="735"/>
      <c r="AK143" s="735"/>
      <c r="AL143" s="735"/>
      <c r="AM143" s="735"/>
      <c r="AN143" s="735"/>
      <c r="AO143" s="735"/>
      <c r="AP143" s="735"/>
      <c r="AQ143" s="735"/>
      <c r="AR143" s="735"/>
      <c r="AS143" s="735"/>
      <c r="AT143" s="735"/>
      <c r="AU143" s="735"/>
      <c r="AV143" s="735"/>
      <c r="AW143" s="735"/>
      <c r="AX143" s="735"/>
      <c r="AY143" s="735"/>
      <c r="AZ143" s="735"/>
    </row>
    <row r="144" spans="1:52" ht="15">
      <c r="A144" s="735"/>
      <c r="B144" s="735"/>
      <c r="C144" s="735"/>
      <c r="D144" s="735"/>
      <c r="E144" s="735"/>
      <c r="F144" s="735"/>
      <c r="G144" s="735"/>
      <c r="H144" s="735"/>
      <c r="I144" s="735"/>
      <c r="J144" s="735"/>
      <c r="K144" s="735"/>
      <c r="L144" s="735"/>
      <c r="M144" s="735"/>
      <c r="N144" s="735"/>
      <c r="O144" s="735"/>
      <c r="P144" s="735"/>
      <c r="Q144" s="735"/>
      <c r="R144" s="735"/>
      <c r="S144" s="735"/>
      <c r="T144" s="735"/>
      <c r="U144" s="735"/>
      <c r="V144" s="735"/>
      <c r="W144" s="735"/>
      <c r="X144" s="735"/>
      <c r="Y144" s="735"/>
      <c r="Z144" s="735"/>
      <c r="AA144" s="735"/>
      <c r="AB144" s="735"/>
      <c r="AC144" s="735"/>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row>
    <row r="145" spans="1:52" ht="15">
      <c r="A145" s="735"/>
      <c r="B145" s="735"/>
      <c r="C145" s="735"/>
      <c r="D145" s="735"/>
      <c r="E145" s="735"/>
      <c r="F145" s="735"/>
      <c r="G145" s="735"/>
      <c r="H145" s="735"/>
      <c r="I145" s="735"/>
      <c r="J145" s="735"/>
      <c r="K145" s="735"/>
      <c r="L145" s="735"/>
      <c r="M145" s="735"/>
      <c r="N145" s="735"/>
      <c r="O145" s="735"/>
      <c r="P145" s="735"/>
      <c r="Q145" s="735"/>
      <c r="R145" s="735"/>
      <c r="S145" s="735"/>
      <c r="T145" s="735"/>
      <c r="U145" s="735"/>
      <c r="V145" s="735"/>
      <c r="W145" s="735"/>
      <c r="X145" s="735"/>
      <c r="Y145" s="735"/>
      <c r="Z145" s="735"/>
      <c r="AA145" s="735"/>
      <c r="AB145" s="735"/>
      <c r="AC145" s="735"/>
      <c r="AD145" s="735"/>
      <c r="AE145" s="735"/>
      <c r="AF145" s="735"/>
      <c r="AG145" s="735"/>
      <c r="AH145" s="735"/>
      <c r="AI145" s="735"/>
      <c r="AJ145" s="735"/>
      <c r="AK145" s="735"/>
      <c r="AL145" s="735"/>
      <c r="AM145" s="735"/>
      <c r="AN145" s="735"/>
      <c r="AO145" s="735"/>
      <c r="AP145" s="735"/>
      <c r="AQ145" s="735"/>
      <c r="AR145" s="735"/>
      <c r="AS145" s="735"/>
      <c r="AT145" s="735"/>
      <c r="AU145" s="735"/>
      <c r="AV145" s="735"/>
      <c r="AW145" s="735"/>
      <c r="AX145" s="735"/>
      <c r="AY145" s="735"/>
      <c r="AZ145" s="735"/>
    </row>
    <row r="146" spans="1:52" ht="15">
      <c r="A146" s="735"/>
      <c r="B146" s="735"/>
      <c r="C146" s="735"/>
      <c r="D146" s="735"/>
      <c r="E146" s="735"/>
      <c r="F146" s="735"/>
      <c r="G146" s="735"/>
      <c r="H146" s="735"/>
      <c r="I146" s="735"/>
      <c r="J146" s="735"/>
      <c r="K146" s="735"/>
      <c r="L146" s="735"/>
      <c r="M146" s="735"/>
      <c r="N146" s="735"/>
      <c r="O146" s="735"/>
      <c r="P146" s="735"/>
      <c r="Q146" s="735"/>
      <c r="R146" s="735"/>
      <c r="S146" s="735"/>
      <c r="T146" s="735"/>
      <c r="U146" s="735"/>
      <c r="V146" s="735"/>
      <c r="W146" s="735"/>
      <c r="X146" s="735"/>
      <c r="Y146" s="735"/>
      <c r="Z146" s="735"/>
      <c r="AA146" s="735"/>
      <c r="AB146" s="735"/>
      <c r="AC146" s="735"/>
      <c r="AD146" s="735"/>
      <c r="AE146" s="735"/>
      <c r="AF146" s="735"/>
      <c r="AG146" s="735"/>
      <c r="AH146" s="735"/>
      <c r="AI146" s="735"/>
      <c r="AJ146" s="735"/>
      <c r="AK146" s="735"/>
      <c r="AL146" s="735"/>
      <c r="AM146" s="735"/>
      <c r="AN146" s="735"/>
      <c r="AO146" s="735"/>
      <c r="AP146" s="735"/>
      <c r="AQ146" s="735"/>
      <c r="AR146" s="735"/>
      <c r="AS146" s="735"/>
      <c r="AT146" s="735"/>
      <c r="AU146" s="735"/>
      <c r="AV146" s="735"/>
      <c r="AW146" s="735"/>
      <c r="AX146" s="735"/>
      <c r="AY146" s="735"/>
      <c r="AZ146" s="735"/>
    </row>
    <row r="147" spans="1:52" ht="15">
      <c r="A147" s="735"/>
      <c r="B147" s="735"/>
      <c r="C147" s="735"/>
      <c r="D147" s="735"/>
      <c r="E147" s="735"/>
      <c r="F147" s="735"/>
      <c r="G147" s="735"/>
      <c r="H147" s="735"/>
      <c r="I147" s="735"/>
      <c r="J147" s="735"/>
      <c r="K147" s="735"/>
      <c r="L147" s="735"/>
      <c r="M147" s="735"/>
      <c r="N147" s="735"/>
      <c r="O147" s="735"/>
      <c r="P147" s="735"/>
      <c r="Q147" s="735"/>
      <c r="R147" s="735"/>
      <c r="S147" s="735"/>
      <c r="T147" s="735"/>
      <c r="U147" s="735"/>
      <c r="V147" s="735"/>
      <c r="W147" s="735"/>
      <c r="X147" s="735"/>
      <c r="Y147" s="735"/>
      <c r="Z147" s="735"/>
      <c r="AA147" s="735"/>
      <c r="AB147" s="735"/>
      <c r="AC147" s="735"/>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row>
    <row r="148" spans="1:52" ht="15">
      <c r="A148" s="735"/>
      <c r="B148" s="735"/>
      <c r="C148" s="735"/>
      <c r="D148" s="735"/>
      <c r="E148" s="735"/>
      <c r="F148" s="735"/>
      <c r="G148" s="735"/>
      <c r="H148" s="735"/>
      <c r="I148" s="735"/>
      <c r="J148" s="735"/>
      <c r="K148" s="735"/>
      <c r="L148" s="735"/>
      <c r="M148" s="735"/>
      <c r="N148" s="735"/>
      <c r="O148" s="735"/>
      <c r="P148" s="735"/>
      <c r="Q148" s="735"/>
      <c r="R148" s="735"/>
      <c r="S148" s="735"/>
      <c r="T148" s="735"/>
      <c r="U148" s="735"/>
      <c r="V148" s="735"/>
      <c r="W148" s="735"/>
      <c r="X148" s="735"/>
      <c r="Y148" s="735"/>
      <c r="Z148" s="735"/>
      <c r="AA148" s="735"/>
      <c r="AB148" s="735"/>
      <c r="AC148" s="735"/>
      <c r="AD148" s="735"/>
      <c r="AE148" s="735"/>
      <c r="AF148" s="735"/>
      <c r="AG148" s="735"/>
      <c r="AH148" s="735"/>
      <c r="AI148" s="735"/>
      <c r="AJ148" s="735"/>
      <c r="AK148" s="735"/>
      <c r="AL148" s="735"/>
      <c r="AM148" s="735"/>
      <c r="AN148" s="735"/>
      <c r="AO148" s="735"/>
      <c r="AP148" s="735"/>
      <c r="AQ148" s="735"/>
      <c r="AR148" s="735"/>
      <c r="AS148" s="735"/>
      <c r="AT148" s="735"/>
      <c r="AU148" s="735"/>
      <c r="AV148" s="735"/>
      <c r="AW148" s="735"/>
      <c r="AX148" s="735"/>
      <c r="AY148" s="735"/>
      <c r="AZ148" s="735"/>
    </row>
    <row r="149" spans="1:52" ht="15">
      <c r="A149" s="735"/>
      <c r="B149" s="735"/>
      <c r="C149" s="735"/>
      <c r="D149" s="735"/>
      <c r="E149" s="735"/>
      <c r="F149" s="735"/>
      <c r="G149" s="735"/>
      <c r="H149" s="735"/>
      <c r="I149" s="735"/>
      <c r="J149" s="735"/>
      <c r="K149" s="735"/>
      <c r="L149" s="735"/>
      <c r="M149" s="735"/>
      <c r="N149" s="735"/>
      <c r="O149" s="735"/>
      <c r="P149" s="735"/>
      <c r="Q149" s="735"/>
      <c r="R149" s="735"/>
      <c r="S149" s="735"/>
      <c r="T149" s="735"/>
      <c r="U149" s="735"/>
      <c r="V149" s="735"/>
      <c r="W149" s="735"/>
      <c r="X149" s="735"/>
      <c r="Y149" s="735"/>
      <c r="Z149" s="735"/>
      <c r="AA149" s="735"/>
      <c r="AB149" s="735"/>
      <c r="AC149" s="735"/>
      <c r="AD149" s="735"/>
      <c r="AE149" s="735"/>
      <c r="AF149" s="735"/>
      <c r="AG149" s="735"/>
      <c r="AH149" s="735"/>
      <c r="AI149" s="735"/>
      <c r="AJ149" s="735"/>
      <c r="AK149" s="735"/>
      <c r="AL149" s="735"/>
      <c r="AM149" s="735"/>
      <c r="AN149" s="735"/>
      <c r="AO149" s="735"/>
      <c r="AP149" s="735"/>
      <c r="AQ149" s="735"/>
      <c r="AR149" s="735"/>
      <c r="AS149" s="735"/>
      <c r="AT149" s="735"/>
      <c r="AU149" s="735"/>
      <c r="AV149" s="735"/>
      <c r="AW149" s="735"/>
      <c r="AX149" s="735"/>
      <c r="AY149" s="735"/>
      <c r="AZ149" s="735"/>
    </row>
    <row r="150" spans="1:52" ht="15">
      <c r="A150" s="735"/>
      <c r="B150" s="735"/>
      <c r="C150" s="735"/>
      <c r="D150" s="735"/>
      <c r="E150" s="735"/>
      <c r="F150" s="735"/>
      <c r="G150" s="735"/>
      <c r="H150" s="735"/>
      <c r="I150" s="735"/>
      <c r="J150" s="735"/>
      <c r="K150" s="735"/>
      <c r="L150" s="735"/>
      <c r="M150" s="735"/>
      <c r="N150" s="735"/>
      <c r="O150" s="735"/>
      <c r="P150" s="735"/>
      <c r="Q150" s="735"/>
      <c r="R150" s="735"/>
      <c r="S150" s="735"/>
      <c r="T150" s="735"/>
      <c r="U150" s="735"/>
      <c r="V150" s="735"/>
      <c r="W150" s="735"/>
      <c r="X150" s="735"/>
      <c r="Y150" s="735"/>
      <c r="Z150" s="735"/>
      <c r="AA150" s="735"/>
      <c r="AB150" s="735"/>
      <c r="AC150" s="735"/>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row>
  </sheetData>
  <sheetProtection password="DE92" sheet="1" objects="1" scenarios="1" selectLockedCells="1" selectUnlockedCells="1"/>
  <mergeCells count="65">
    <mergeCell ref="B2:L2"/>
    <mergeCell ref="B3:L3"/>
    <mergeCell ref="B4:L4"/>
    <mergeCell ref="B5:F5"/>
    <mergeCell ref="G5:L5"/>
    <mergeCell ref="B6:F6"/>
    <mergeCell ref="G6:L6"/>
    <mergeCell ref="G7:L7"/>
    <mergeCell ref="B8:F8"/>
    <mergeCell ref="G8:L8"/>
    <mergeCell ref="B9:F9"/>
    <mergeCell ref="G9:L9"/>
    <mergeCell ref="B10:D10"/>
    <mergeCell ref="E10:F10"/>
    <mergeCell ref="B7:F7"/>
    <mergeCell ref="B11:D11"/>
    <mergeCell ref="E11:F11"/>
    <mergeCell ref="G10:J10"/>
    <mergeCell ref="G11:J11"/>
    <mergeCell ref="K10:L10"/>
    <mergeCell ref="B12:L12"/>
    <mergeCell ref="K11:L11"/>
    <mergeCell ref="B13:D13"/>
    <mergeCell ref="G13:J13"/>
    <mergeCell ref="K13:L13"/>
    <mergeCell ref="B14:D14"/>
    <mergeCell ref="G14:H14"/>
    <mergeCell ref="I14:J14"/>
    <mergeCell ref="K14:L14"/>
    <mergeCell ref="B15:D15"/>
    <mergeCell ref="G15:H17"/>
    <mergeCell ref="I15:J17"/>
    <mergeCell ref="K15:L17"/>
    <mergeCell ref="B16:D16"/>
    <mergeCell ref="B17:D17"/>
    <mergeCell ref="B18:L18"/>
    <mergeCell ref="C19:D19"/>
    <mergeCell ref="D20:F20"/>
    <mergeCell ref="D21:F21"/>
    <mergeCell ref="D22:F22"/>
    <mergeCell ref="D23:F23"/>
    <mergeCell ref="D24:F24"/>
    <mergeCell ref="C26:F26"/>
    <mergeCell ref="D28:E28"/>
    <mergeCell ref="C29:F29"/>
    <mergeCell ref="C30:F30"/>
    <mergeCell ref="C33:F33"/>
    <mergeCell ref="C34:F34"/>
    <mergeCell ref="C38:E38"/>
    <mergeCell ref="C40:E40"/>
    <mergeCell ref="I40:J40"/>
    <mergeCell ref="D46:E46"/>
    <mergeCell ref="I41:J41"/>
    <mergeCell ref="G41:H41"/>
    <mergeCell ref="G40:H40"/>
    <mergeCell ref="D45:F45"/>
    <mergeCell ref="G53:J54"/>
    <mergeCell ref="K53:K54"/>
    <mergeCell ref="L53:L54"/>
    <mergeCell ref="D47:E47"/>
    <mergeCell ref="D48:E48"/>
    <mergeCell ref="D49:E49"/>
    <mergeCell ref="D50:E50"/>
    <mergeCell ref="D51:E51"/>
    <mergeCell ref="D52:E52"/>
  </mergeCells>
  <printOptions/>
  <pageMargins left="0.5" right="0.23" top="0.42" bottom="0.190277777777778" header="0.31" footer="0.32"/>
  <pageSetup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AZ150"/>
  <sheetViews>
    <sheetView showGridLines="0" showRowColHeaders="0" zoomScaleSheetLayoutView="100" zoomScalePageLayoutView="0" workbookViewId="0" topLeftCell="A1">
      <selection activeCell="C32" sqref="C32:D32"/>
    </sheetView>
  </sheetViews>
  <sheetFormatPr defaultColWidth="9.421875" defaultRowHeight="12.75"/>
  <cols>
    <col min="1" max="1" width="4.7109375" style="4" customWidth="1"/>
    <col min="2" max="2" width="4.00390625" style="4" customWidth="1"/>
    <col min="3" max="3" width="3.421875" style="4" customWidth="1"/>
    <col min="4" max="4" width="5.00390625" style="4" customWidth="1"/>
    <col min="5" max="5" width="11.7109375" style="4" customWidth="1"/>
    <col min="6" max="6" width="14.00390625" style="4" customWidth="1"/>
    <col min="7" max="7" width="12.28125" style="4" customWidth="1"/>
    <col min="8" max="8" width="12.421875" style="4" customWidth="1"/>
    <col min="9" max="9" width="3.28125" style="4" customWidth="1"/>
    <col min="10" max="10" width="11.00390625" style="4" customWidth="1"/>
    <col min="11" max="11" width="10.7109375" style="4" customWidth="1"/>
    <col min="12" max="12" width="3.421875" style="4" customWidth="1"/>
    <col min="13" max="13" width="9.57421875" style="4" customWidth="1"/>
    <col min="14" max="17" width="9.421875" style="4" customWidth="1"/>
    <col min="18" max="18" width="10.140625" style="4" customWidth="1"/>
    <col min="19" max="16384" width="9.421875" style="4" customWidth="1"/>
  </cols>
  <sheetData>
    <row r="1" spans="1:52" ht="15.75" thickBot="1">
      <c r="A1" s="707"/>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row>
    <row r="2" spans="1:52" ht="15">
      <c r="A2" s="707"/>
      <c r="B2" s="81" t="s">
        <v>414</v>
      </c>
      <c r="C2" s="1290" t="s">
        <v>415</v>
      </c>
      <c r="D2" s="1290"/>
      <c r="E2" s="1290"/>
      <c r="F2" s="1290"/>
      <c r="G2" s="1290"/>
      <c r="H2" s="482"/>
      <c r="I2" s="482"/>
      <c r="J2" s="414" t="s">
        <v>301</v>
      </c>
      <c r="K2" s="414" t="s">
        <v>400</v>
      </c>
      <c r="L2" s="415"/>
      <c r="M2" s="416"/>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row>
    <row r="3" spans="1:52" ht="15">
      <c r="A3" s="707"/>
      <c r="B3" s="82"/>
      <c r="C3" s="1291" t="s">
        <v>416</v>
      </c>
      <c r="D3" s="1291"/>
      <c r="E3" s="1291"/>
      <c r="F3" s="1291"/>
      <c r="G3" s="1291"/>
      <c r="H3" s="483"/>
      <c r="I3" s="483"/>
      <c r="J3" s="417" t="s">
        <v>373</v>
      </c>
      <c r="K3" s="417" t="s">
        <v>373</v>
      </c>
      <c r="L3" s="90"/>
      <c r="M3" s="418"/>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row>
    <row r="4" spans="1:52" ht="15">
      <c r="A4" s="707"/>
      <c r="B4" s="84"/>
      <c r="C4" s="1272" t="s">
        <v>166</v>
      </c>
      <c r="D4" s="1272"/>
      <c r="E4" s="1292" t="s">
        <v>546</v>
      </c>
      <c r="F4" s="1292"/>
      <c r="G4" s="1292"/>
      <c r="I4" s="525" t="s">
        <v>326</v>
      </c>
      <c r="J4" s="419">
        <f>Bill!U27</f>
        <v>1759</v>
      </c>
      <c r="K4" s="419">
        <f>J4</f>
        <v>1759</v>
      </c>
      <c r="L4" s="90"/>
      <c r="M4" s="418"/>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7"/>
      <c r="AX4" s="707"/>
      <c r="AY4" s="707"/>
      <c r="AZ4" s="707"/>
    </row>
    <row r="5" spans="1:52" ht="15">
      <c r="A5" s="707"/>
      <c r="B5" s="84"/>
      <c r="C5" s="1271" t="str">
        <f>DATA!AW207</f>
        <v>80E</v>
      </c>
      <c r="D5" s="1271"/>
      <c r="E5" s="1293" t="str">
        <f>DATA!AZ186</f>
        <v>Interest of Housing Loan</v>
      </c>
      <c r="F5" s="1293"/>
      <c r="G5" s="1293"/>
      <c r="H5" s="1293"/>
      <c r="I5" s="525" t="s">
        <v>326</v>
      </c>
      <c r="J5" s="419">
        <f>DATA!BA189</f>
        <v>0</v>
      </c>
      <c r="K5" s="419">
        <f>DATA!BA189</f>
        <v>0</v>
      </c>
      <c r="L5" s="90"/>
      <c r="M5" s="418"/>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row>
    <row r="6" spans="1:52" ht="15">
      <c r="A6" s="707"/>
      <c r="B6" s="84"/>
      <c r="C6" s="1271" t="str">
        <f>DATA!AW208</f>
        <v>80E</v>
      </c>
      <c r="D6" s="1271"/>
      <c r="E6" s="1274" t="str">
        <f>DATA!AZ187</f>
        <v>Interest of Educational Loan</v>
      </c>
      <c r="F6" s="1274"/>
      <c r="G6" s="1274"/>
      <c r="H6" s="1274"/>
      <c r="I6" s="525" t="s">
        <v>326</v>
      </c>
      <c r="J6" s="419">
        <f>DATA!G33</f>
        <v>0</v>
      </c>
      <c r="K6" s="419">
        <f>'Annexure -I I'!K23</f>
        <v>0</v>
      </c>
      <c r="L6" s="90"/>
      <c r="M6" s="418"/>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row>
    <row r="7" spans="1:52" ht="15">
      <c r="A7" s="707"/>
      <c r="B7" s="84"/>
      <c r="C7" s="1271" t="str">
        <f>DATA!AW209</f>
        <v>80DD</v>
      </c>
      <c r="D7" s="1271"/>
      <c r="E7" s="1274" t="str">
        <f>DATA!AZ188</f>
        <v>Medical treatment of dependent( 40%)</v>
      </c>
      <c r="F7" s="1274"/>
      <c r="G7" s="1274"/>
      <c r="H7" s="1274"/>
      <c r="I7" s="525" t="s">
        <v>326</v>
      </c>
      <c r="J7" s="419">
        <f>DATA!G34</f>
        <v>0</v>
      </c>
      <c r="K7" s="419">
        <f>'Annexure -I I'!K24</f>
        <v>0</v>
      </c>
      <c r="L7" s="90"/>
      <c r="M7" s="418"/>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row>
    <row r="8" spans="1:52" ht="15">
      <c r="A8" s="707"/>
      <c r="B8" s="84"/>
      <c r="C8" s="1272" t="str">
        <f>'Annexure -I I'!D26</f>
        <v>80U</v>
      </c>
      <c r="D8" s="1273"/>
      <c r="E8" s="1274" t="str">
        <f>'Annexure -I I'!E26</f>
        <v>Disabled Person(PH)-above 40%disability( Rule 11A)</v>
      </c>
      <c r="F8" s="1274"/>
      <c r="G8" s="1274"/>
      <c r="H8" s="1274"/>
      <c r="I8" s="525" t="s">
        <v>326</v>
      </c>
      <c r="J8" s="524">
        <f>DATA!G35</f>
        <v>0</v>
      </c>
      <c r="K8" s="420">
        <f>DATA!AW222</f>
        <v>0</v>
      </c>
      <c r="L8" s="90"/>
      <c r="M8" s="418"/>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row>
    <row r="9" spans="1:52" ht="15">
      <c r="A9" s="707"/>
      <c r="B9" s="84"/>
      <c r="C9" s="1272" t="s">
        <v>791</v>
      </c>
      <c r="D9" s="1273"/>
      <c r="E9" s="541" t="s">
        <v>792</v>
      </c>
      <c r="F9" s="541"/>
      <c r="G9" s="541"/>
      <c r="H9" s="541"/>
      <c r="I9" s="525"/>
      <c r="J9" s="705">
        <f>Bill!V27</f>
        <v>360</v>
      </c>
      <c r="K9" s="706">
        <f>Bill!V27</f>
        <v>360</v>
      </c>
      <c r="L9" s="90"/>
      <c r="M9" s="418"/>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row>
    <row r="10" spans="1:52" ht="15">
      <c r="A10" s="707"/>
      <c r="B10" s="82"/>
      <c r="C10" s="85"/>
      <c r="D10" s="85"/>
      <c r="E10" s="85"/>
      <c r="F10" s="85"/>
      <c r="G10" s="1277" t="s">
        <v>417</v>
      </c>
      <c r="H10" s="1277"/>
      <c r="I10" s="1277"/>
      <c r="J10" s="1277"/>
      <c r="K10" s="1277"/>
      <c r="L10" s="86" t="s">
        <v>326</v>
      </c>
      <c r="M10" s="421">
        <f>SUM(K4:K9)</f>
        <v>2119</v>
      </c>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7"/>
      <c r="AY10" s="707"/>
      <c r="AZ10" s="707"/>
    </row>
    <row r="11" spans="1:52" ht="14.25" customHeight="1">
      <c r="A11" s="707"/>
      <c r="B11" s="82">
        <v>10</v>
      </c>
      <c r="C11" s="1283" t="s">
        <v>418</v>
      </c>
      <c r="D11" s="1284"/>
      <c r="E11" s="1284"/>
      <c r="F11" s="1284"/>
      <c r="G11" s="1284"/>
      <c r="H11" s="1284"/>
      <c r="I11" s="481"/>
      <c r="J11" s="83"/>
      <c r="K11" s="87"/>
      <c r="L11" s="88" t="s">
        <v>326</v>
      </c>
      <c r="M11" s="422">
        <f>'Form-16'!L53+'Form-16 Back'!M10</f>
        <v>35802</v>
      </c>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7"/>
      <c r="AZ11" s="707"/>
    </row>
    <row r="12" spans="1:52" ht="7.5" customHeight="1">
      <c r="A12" s="707"/>
      <c r="B12" s="89"/>
      <c r="C12" s="83"/>
      <c r="D12" s="83"/>
      <c r="E12" s="83"/>
      <c r="F12" s="83"/>
      <c r="G12" s="83"/>
      <c r="H12" s="83"/>
      <c r="I12" s="83"/>
      <c r="J12" s="83"/>
      <c r="K12" s="87"/>
      <c r="L12" s="90"/>
      <c r="M12" s="91"/>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row>
    <row r="13" spans="1:52" ht="15">
      <c r="A13" s="707"/>
      <c r="B13" s="89">
        <v>11</v>
      </c>
      <c r="C13" s="1275" t="s">
        <v>419</v>
      </c>
      <c r="D13" s="1275"/>
      <c r="E13" s="1275"/>
      <c r="F13" s="1275"/>
      <c r="G13" s="1275"/>
      <c r="H13" s="1275"/>
      <c r="I13" s="480"/>
      <c r="J13" s="83"/>
      <c r="K13" s="87"/>
      <c r="L13" s="92" t="s">
        <v>326</v>
      </c>
      <c r="M13" s="423">
        <f>'Annexure -I I'!L42</f>
        <v>386882</v>
      </c>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7"/>
      <c r="AV13" s="707"/>
      <c r="AW13" s="707"/>
      <c r="AX13" s="707"/>
      <c r="AY13" s="707"/>
      <c r="AZ13" s="707"/>
    </row>
    <row r="14" spans="1:52" ht="15">
      <c r="A14" s="707"/>
      <c r="B14" s="89">
        <v>12</v>
      </c>
      <c r="C14" s="1275" t="s">
        <v>420</v>
      </c>
      <c r="D14" s="1275"/>
      <c r="E14" s="1275"/>
      <c r="F14" s="1275"/>
      <c r="G14" s="1275"/>
      <c r="H14" s="1275"/>
      <c r="I14" s="480"/>
      <c r="J14" s="83"/>
      <c r="K14" s="87"/>
      <c r="L14" s="93" t="s">
        <v>326</v>
      </c>
      <c r="M14" s="424">
        <f>'Annexure -I I'!L45+'Annexure -I I'!L46</f>
        <v>13688</v>
      </c>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707"/>
    </row>
    <row r="15" spans="1:52" ht="15">
      <c r="A15" s="707"/>
      <c r="B15" s="89">
        <v>13</v>
      </c>
      <c r="C15" s="1254" t="s">
        <v>607</v>
      </c>
      <c r="D15" s="1255"/>
      <c r="E15" s="1255"/>
      <c r="F15" s="1255"/>
      <c r="G15" s="1255"/>
      <c r="H15" s="1255"/>
      <c r="I15" s="477"/>
      <c r="J15" s="83"/>
      <c r="K15" s="87"/>
      <c r="L15" s="92"/>
      <c r="M15" s="772">
        <f>'Annexure -I I'!L48</f>
        <v>2000</v>
      </c>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7"/>
      <c r="AX15" s="707"/>
      <c r="AY15" s="707"/>
      <c r="AZ15" s="707"/>
    </row>
    <row r="16" spans="1:52" ht="15">
      <c r="A16" s="707"/>
      <c r="B16" s="89">
        <v>14</v>
      </c>
      <c r="C16" s="1289" t="s">
        <v>420</v>
      </c>
      <c r="D16" s="1275"/>
      <c r="E16" s="1275"/>
      <c r="F16" s="1275"/>
      <c r="G16" s="1275"/>
      <c r="H16" s="1275"/>
      <c r="I16" s="480"/>
      <c r="J16" s="83"/>
      <c r="K16" s="87"/>
      <c r="L16" s="93" t="s">
        <v>326</v>
      </c>
      <c r="M16" s="424">
        <f>'Annexure -I I'!L49</f>
        <v>11688</v>
      </c>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07"/>
      <c r="AS16" s="707"/>
      <c r="AT16" s="707"/>
      <c r="AU16" s="707"/>
      <c r="AV16" s="707"/>
      <c r="AW16" s="707"/>
      <c r="AX16" s="707"/>
      <c r="AY16" s="707"/>
      <c r="AZ16" s="707"/>
    </row>
    <row r="17" spans="1:52" ht="15">
      <c r="A17" s="707"/>
      <c r="B17" s="89">
        <v>15</v>
      </c>
      <c r="C17" s="773" t="s">
        <v>808</v>
      </c>
      <c r="D17" s="774"/>
      <c r="E17" s="774"/>
      <c r="F17" s="774"/>
      <c r="G17" s="774"/>
      <c r="H17" s="774"/>
      <c r="I17" s="119"/>
      <c r="J17" s="83"/>
      <c r="K17" s="87"/>
      <c r="L17" s="93" t="s">
        <v>326</v>
      </c>
      <c r="M17" s="425">
        <f>'Annexure -I I'!L50</f>
        <v>351</v>
      </c>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707"/>
      <c r="AU17" s="707"/>
      <c r="AV17" s="707"/>
      <c r="AW17" s="707"/>
      <c r="AX17" s="707"/>
      <c r="AY17" s="707"/>
      <c r="AZ17" s="707"/>
    </row>
    <row r="18" spans="1:52" ht="15" hidden="1">
      <c r="A18" s="707"/>
      <c r="B18" s="89">
        <v>16</v>
      </c>
      <c r="C18" s="1287" t="s">
        <v>421</v>
      </c>
      <c r="D18" s="1288"/>
      <c r="E18" s="1288"/>
      <c r="F18" s="1288"/>
      <c r="G18" s="1288"/>
      <c r="H18" s="1288"/>
      <c r="I18" s="50"/>
      <c r="J18" s="83"/>
      <c r="K18" s="87"/>
      <c r="L18" s="93" t="s">
        <v>326</v>
      </c>
      <c r="M18" s="425">
        <f>'Annexure -I I'!L51</f>
        <v>234</v>
      </c>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row>
    <row r="19" spans="1:52" ht="15">
      <c r="A19" s="707"/>
      <c r="B19" s="89">
        <v>16</v>
      </c>
      <c r="C19" s="119" t="s">
        <v>511</v>
      </c>
      <c r="D19" s="119"/>
      <c r="E19" s="119"/>
      <c r="F19" s="119"/>
      <c r="G19" s="119"/>
      <c r="H19" s="119"/>
      <c r="I19" s="119"/>
      <c r="J19" s="83"/>
      <c r="K19" s="87"/>
      <c r="L19" s="93"/>
      <c r="M19" s="425">
        <f>'Annexure -I I'!L52</f>
        <v>12039</v>
      </c>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07"/>
    </row>
    <row r="20" spans="1:52" ht="15">
      <c r="A20" s="707"/>
      <c r="B20" s="89">
        <v>17</v>
      </c>
      <c r="C20" s="1275" t="s">
        <v>422</v>
      </c>
      <c r="D20" s="1275"/>
      <c r="E20" s="1275"/>
      <c r="F20" s="1275"/>
      <c r="G20" s="1275"/>
      <c r="H20" s="1275"/>
      <c r="I20" s="480"/>
      <c r="J20" s="83"/>
      <c r="K20" s="87"/>
      <c r="L20" s="93" t="s">
        <v>326</v>
      </c>
      <c r="M20" s="424">
        <v>0</v>
      </c>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row>
    <row r="21" spans="1:52" ht="15">
      <c r="A21" s="707"/>
      <c r="B21" s="89">
        <v>18</v>
      </c>
      <c r="C21" s="1275" t="s">
        <v>512</v>
      </c>
      <c r="D21" s="1275"/>
      <c r="E21" s="1275"/>
      <c r="F21" s="1275"/>
      <c r="G21" s="1275"/>
      <c r="H21" s="1275"/>
      <c r="I21" s="480"/>
      <c r="J21" s="83"/>
      <c r="K21" s="87"/>
      <c r="L21" s="93" t="s">
        <v>326</v>
      </c>
      <c r="M21" s="424">
        <f>M19-M20</f>
        <v>12039</v>
      </c>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row>
    <row r="22" spans="1:52" ht="15">
      <c r="A22" s="707"/>
      <c r="B22" s="89">
        <v>19</v>
      </c>
      <c r="C22" s="1276" t="s">
        <v>423</v>
      </c>
      <c r="D22" s="1276"/>
      <c r="E22" s="1276"/>
      <c r="F22" s="1276"/>
      <c r="G22" s="1276"/>
      <c r="H22" s="1276"/>
      <c r="I22" s="119"/>
      <c r="J22" s="83"/>
      <c r="K22" s="87"/>
      <c r="L22" s="93" t="s">
        <v>326</v>
      </c>
      <c r="M22" s="424"/>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row>
    <row r="23" spans="1:52" ht="15">
      <c r="A23" s="707"/>
      <c r="B23" s="89">
        <v>20</v>
      </c>
      <c r="C23" s="798" t="s">
        <v>424</v>
      </c>
      <c r="D23" s="536"/>
      <c r="E23" s="536"/>
      <c r="F23" s="536"/>
      <c r="G23" s="536"/>
      <c r="H23" s="536"/>
      <c r="I23" s="536"/>
      <c r="J23" s="83"/>
      <c r="K23" s="87"/>
      <c r="L23" s="93" t="s">
        <v>326</v>
      </c>
      <c r="M23" s="424">
        <f>'Annexure -I I'!L53</f>
        <v>0</v>
      </c>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row>
    <row r="24" spans="1:52" ht="17.25" customHeight="1">
      <c r="A24" s="707"/>
      <c r="B24" s="94">
        <v>21</v>
      </c>
      <c r="C24" s="1285" t="s">
        <v>425</v>
      </c>
      <c r="D24" s="1285"/>
      <c r="E24" s="1285"/>
      <c r="F24" s="1285"/>
      <c r="G24" s="1285"/>
      <c r="H24" s="95"/>
      <c r="I24" s="95"/>
      <c r="J24" s="95"/>
      <c r="K24" s="96"/>
      <c r="L24" s="97" t="s">
        <v>326</v>
      </c>
      <c r="M24" s="535">
        <f>'Annexure -I I'!L54</f>
        <v>12039</v>
      </c>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row>
    <row r="25" spans="1:52" ht="1.5" customHeight="1">
      <c r="A25" s="707"/>
      <c r="B25" s="98"/>
      <c r="C25" s="83"/>
      <c r="D25" s="83"/>
      <c r="E25" s="83"/>
      <c r="F25" s="83"/>
      <c r="G25" s="83"/>
      <c r="H25" s="83"/>
      <c r="I25" s="83"/>
      <c r="J25" s="83"/>
      <c r="K25" s="83"/>
      <c r="L25" s="83"/>
      <c r="M25" s="99"/>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row>
    <row r="26" spans="1:52" ht="15">
      <c r="A26" s="707"/>
      <c r="B26" s="1286" t="s">
        <v>426</v>
      </c>
      <c r="C26" s="1286"/>
      <c r="D26" s="1286"/>
      <c r="E26" s="1286"/>
      <c r="F26" s="1286"/>
      <c r="G26" s="1286"/>
      <c r="H26" s="1286"/>
      <c r="I26" s="1286"/>
      <c r="J26" s="1286"/>
      <c r="K26" s="1286"/>
      <c r="L26" s="1286"/>
      <c r="M26" s="1286"/>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7"/>
      <c r="AL26" s="707"/>
      <c r="AM26" s="707"/>
      <c r="AN26" s="707"/>
      <c r="AO26" s="707"/>
      <c r="AP26" s="707"/>
      <c r="AQ26" s="707"/>
      <c r="AR26" s="707"/>
      <c r="AS26" s="707"/>
      <c r="AT26" s="707"/>
      <c r="AU26" s="707"/>
      <c r="AV26" s="707"/>
      <c r="AW26" s="707"/>
      <c r="AX26" s="707"/>
      <c r="AY26" s="707"/>
      <c r="AZ26" s="707"/>
    </row>
    <row r="27" spans="1:52" ht="15">
      <c r="A27" s="707"/>
      <c r="B27" s="1278" t="s">
        <v>427</v>
      </c>
      <c r="C27" s="1278"/>
      <c r="D27" s="1278"/>
      <c r="E27" s="1278"/>
      <c r="F27" s="1278"/>
      <c r="G27" s="1278"/>
      <c r="H27" s="1278"/>
      <c r="I27" s="1278"/>
      <c r="J27" s="1278"/>
      <c r="K27" s="1278"/>
      <c r="L27" s="1278"/>
      <c r="M27" s="1278"/>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row>
    <row r="28" spans="1:52" ht="4.5" customHeight="1">
      <c r="A28" s="707"/>
      <c r="B28" s="98"/>
      <c r="C28" s="83"/>
      <c r="D28" s="83"/>
      <c r="E28" s="83"/>
      <c r="F28" s="83"/>
      <c r="G28" s="83"/>
      <c r="H28" s="83"/>
      <c r="I28" s="83"/>
      <c r="J28" s="83"/>
      <c r="K28" s="83"/>
      <c r="L28" s="83"/>
      <c r="M28" s="99"/>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707"/>
      <c r="AN28" s="707"/>
      <c r="AO28" s="707"/>
      <c r="AP28" s="707"/>
      <c r="AQ28" s="707"/>
      <c r="AR28" s="707"/>
      <c r="AS28" s="707"/>
      <c r="AT28" s="707"/>
      <c r="AU28" s="707"/>
      <c r="AV28" s="707"/>
      <c r="AW28" s="707"/>
      <c r="AX28" s="707"/>
      <c r="AY28" s="707"/>
      <c r="AZ28" s="707"/>
    </row>
    <row r="29" spans="1:52" ht="15">
      <c r="A29" s="707"/>
      <c r="B29" s="464" t="s">
        <v>428</v>
      </c>
      <c r="C29" s="1261" t="s">
        <v>429</v>
      </c>
      <c r="D29" s="1262"/>
      <c r="E29" s="459" t="s">
        <v>430</v>
      </c>
      <c r="F29" s="461" t="s">
        <v>431</v>
      </c>
      <c r="G29" s="459" t="s">
        <v>432</v>
      </c>
      <c r="H29" s="538" t="s">
        <v>433</v>
      </c>
      <c r="I29" s="1261" t="s">
        <v>434</v>
      </c>
      <c r="J29" s="1262"/>
      <c r="K29" s="461" t="s">
        <v>435</v>
      </c>
      <c r="L29" s="1279" t="s">
        <v>436</v>
      </c>
      <c r="M29" s="1280"/>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7"/>
      <c r="AY29" s="707"/>
      <c r="AZ29" s="707"/>
    </row>
    <row r="30" spans="1:52" ht="15">
      <c r="A30" s="707"/>
      <c r="B30" s="465" t="s">
        <v>437</v>
      </c>
      <c r="C30" s="1265" t="s">
        <v>326</v>
      </c>
      <c r="D30" s="1266"/>
      <c r="E30" s="458" t="s">
        <v>326</v>
      </c>
      <c r="F30" s="462" t="s">
        <v>438</v>
      </c>
      <c r="G30" s="458" t="s">
        <v>439</v>
      </c>
      <c r="H30" s="539" t="s">
        <v>440</v>
      </c>
      <c r="I30" s="1265" t="s">
        <v>441</v>
      </c>
      <c r="J30" s="1266"/>
      <c r="K30" s="462" t="s">
        <v>442</v>
      </c>
      <c r="L30" s="1281" t="s">
        <v>443</v>
      </c>
      <c r="M30" s="1282"/>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row>
    <row r="31" spans="1:52" ht="15">
      <c r="A31" s="707"/>
      <c r="B31" s="466"/>
      <c r="C31" s="1267"/>
      <c r="D31" s="1268"/>
      <c r="E31" s="460"/>
      <c r="F31" s="463" t="s">
        <v>326</v>
      </c>
      <c r="G31" s="460" t="s">
        <v>326</v>
      </c>
      <c r="H31" s="479"/>
      <c r="I31" s="1267" t="s">
        <v>444</v>
      </c>
      <c r="J31" s="1268"/>
      <c r="K31" s="463" t="s">
        <v>439</v>
      </c>
      <c r="L31" s="1269" t="s">
        <v>445</v>
      </c>
      <c r="M31" s="1270"/>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row>
    <row r="32" spans="1:52" ht="15">
      <c r="A32" s="707"/>
      <c r="B32" s="467">
        <v>1</v>
      </c>
      <c r="C32" s="1256"/>
      <c r="D32" s="1256"/>
      <c r="E32" s="457"/>
      <c r="F32" s="457"/>
      <c r="G32" s="457"/>
      <c r="H32" s="457"/>
      <c r="I32" s="1263"/>
      <c r="J32" s="1264"/>
      <c r="K32" s="457"/>
      <c r="L32" s="1256"/>
      <c r="M32" s="125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07"/>
      <c r="AN32" s="707"/>
      <c r="AO32" s="707"/>
      <c r="AP32" s="707"/>
      <c r="AQ32" s="707"/>
      <c r="AR32" s="707"/>
      <c r="AS32" s="707"/>
      <c r="AT32" s="707"/>
      <c r="AU32" s="707"/>
      <c r="AV32" s="707"/>
      <c r="AW32" s="707"/>
      <c r="AX32" s="707"/>
      <c r="AY32" s="707"/>
      <c r="AZ32" s="707"/>
    </row>
    <row r="33" spans="1:52" ht="15">
      <c r="A33" s="707"/>
      <c r="B33" s="467">
        <v>2</v>
      </c>
      <c r="C33" s="1256"/>
      <c r="D33" s="1256"/>
      <c r="E33" s="457"/>
      <c r="F33" s="457"/>
      <c r="G33" s="457"/>
      <c r="H33" s="457"/>
      <c r="I33" s="1263"/>
      <c r="J33" s="1264"/>
      <c r="K33" s="457"/>
      <c r="L33" s="1256"/>
      <c r="M33" s="125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707"/>
      <c r="AN33" s="707"/>
      <c r="AO33" s="707"/>
      <c r="AP33" s="707"/>
      <c r="AQ33" s="707"/>
      <c r="AR33" s="707"/>
      <c r="AS33" s="707"/>
      <c r="AT33" s="707"/>
      <c r="AU33" s="707"/>
      <c r="AV33" s="707"/>
      <c r="AW33" s="707"/>
      <c r="AX33" s="707"/>
      <c r="AY33" s="707"/>
      <c r="AZ33" s="707"/>
    </row>
    <row r="34" spans="1:52" ht="15">
      <c r="A34" s="707"/>
      <c r="B34" s="467">
        <v>3</v>
      </c>
      <c r="C34" s="1256"/>
      <c r="D34" s="1256"/>
      <c r="E34" s="457"/>
      <c r="F34" s="457"/>
      <c r="G34" s="457"/>
      <c r="H34" s="457"/>
      <c r="I34" s="1263"/>
      <c r="J34" s="1264"/>
      <c r="K34" s="457"/>
      <c r="L34" s="1256"/>
      <c r="M34" s="125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7"/>
      <c r="AY34" s="707"/>
      <c r="AZ34" s="707"/>
    </row>
    <row r="35" spans="1:52" ht="15">
      <c r="A35" s="707"/>
      <c r="B35" s="467">
        <v>4</v>
      </c>
      <c r="C35" s="1256"/>
      <c r="D35" s="1256"/>
      <c r="E35" s="457"/>
      <c r="F35" s="457"/>
      <c r="G35" s="457"/>
      <c r="H35" s="457"/>
      <c r="I35" s="1263"/>
      <c r="J35" s="1264"/>
      <c r="K35" s="457"/>
      <c r="L35" s="1256"/>
      <c r="M35" s="125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row>
    <row r="36" spans="1:52" ht="15">
      <c r="A36" s="707"/>
      <c r="B36" s="467">
        <v>5</v>
      </c>
      <c r="C36" s="1256"/>
      <c r="D36" s="1256"/>
      <c r="E36" s="457"/>
      <c r="F36" s="457"/>
      <c r="G36" s="457"/>
      <c r="H36" s="457"/>
      <c r="I36" s="1263"/>
      <c r="J36" s="1264"/>
      <c r="K36" s="457"/>
      <c r="L36" s="1256"/>
      <c r="M36" s="125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row>
    <row r="37" spans="1:52" ht="15">
      <c r="A37" s="707"/>
      <c r="B37" s="467">
        <v>6</v>
      </c>
      <c r="C37" s="1256"/>
      <c r="D37" s="1256"/>
      <c r="E37" s="457"/>
      <c r="F37" s="457"/>
      <c r="G37" s="457"/>
      <c r="H37" s="457"/>
      <c r="I37" s="1263"/>
      <c r="J37" s="1264"/>
      <c r="K37" s="457"/>
      <c r="L37" s="1256"/>
      <c r="M37" s="125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row>
    <row r="38" spans="1:52" ht="15">
      <c r="A38" s="707"/>
      <c r="B38" s="467">
        <v>7</v>
      </c>
      <c r="C38" s="1256"/>
      <c r="D38" s="1256"/>
      <c r="E38" s="457"/>
      <c r="F38" s="457"/>
      <c r="G38" s="457"/>
      <c r="H38" s="457"/>
      <c r="I38" s="1263"/>
      <c r="J38" s="1264"/>
      <c r="K38" s="457"/>
      <c r="L38" s="1256"/>
      <c r="M38" s="125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row>
    <row r="39" spans="1:52" ht="15">
      <c r="A39" s="707"/>
      <c r="B39" s="467">
        <v>8</v>
      </c>
      <c r="C39" s="1256"/>
      <c r="D39" s="1256"/>
      <c r="E39" s="457"/>
      <c r="F39" s="457"/>
      <c r="G39" s="457"/>
      <c r="H39" s="457"/>
      <c r="I39" s="1263"/>
      <c r="J39" s="1264"/>
      <c r="K39" s="457"/>
      <c r="L39" s="1256"/>
      <c r="M39" s="125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row>
    <row r="40" spans="1:52" ht="15">
      <c r="A40" s="707"/>
      <c r="B40" s="467">
        <v>9</v>
      </c>
      <c r="C40" s="1256"/>
      <c r="D40" s="1256"/>
      <c r="E40" s="457"/>
      <c r="F40" s="457"/>
      <c r="G40" s="457"/>
      <c r="H40" s="457"/>
      <c r="I40" s="1263"/>
      <c r="J40" s="1264"/>
      <c r="K40" s="457"/>
      <c r="L40" s="1256"/>
      <c r="M40" s="1257"/>
      <c r="N40" s="707"/>
      <c r="O40" s="738"/>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row>
    <row r="41" spans="1:52" ht="15">
      <c r="A41" s="707"/>
      <c r="B41" s="467">
        <v>10</v>
      </c>
      <c r="C41" s="1256"/>
      <c r="D41" s="1256"/>
      <c r="E41" s="457"/>
      <c r="F41" s="457"/>
      <c r="G41" s="457"/>
      <c r="H41" s="457"/>
      <c r="I41" s="1263"/>
      <c r="J41" s="1264"/>
      <c r="K41" s="457"/>
      <c r="L41" s="1256"/>
      <c r="M41" s="125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7"/>
      <c r="AZ41" s="707"/>
    </row>
    <row r="42" spans="1:52" ht="15">
      <c r="A42" s="707"/>
      <c r="B42" s="467">
        <v>11</v>
      </c>
      <c r="C42" s="1256"/>
      <c r="D42" s="1256"/>
      <c r="E42" s="457"/>
      <c r="F42" s="457"/>
      <c r="G42" s="457"/>
      <c r="H42" s="457"/>
      <c r="I42" s="1263"/>
      <c r="J42" s="1264"/>
      <c r="K42" s="457"/>
      <c r="L42" s="1256"/>
      <c r="M42" s="125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row>
    <row r="43" spans="1:52" ht="15">
      <c r="A43" s="707"/>
      <c r="B43" s="467">
        <v>12</v>
      </c>
      <c r="C43" s="1256"/>
      <c r="D43" s="1256"/>
      <c r="E43" s="457"/>
      <c r="F43" s="457"/>
      <c r="G43" s="457"/>
      <c r="H43" s="457"/>
      <c r="I43" s="1263"/>
      <c r="J43" s="1264"/>
      <c r="K43" s="457"/>
      <c r="L43" s="1256"/>
      <c r="M43" s="125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row>
    <row r="44" spans="1:52" ht="7.5" customHeight="1">
      <c r="A44" s="707"/>
      <c r="B44" s="98"/>
      <c r="C44" s="83"/>
      <c r="D44" s="83"/>
      <c r="E44" s="83"/>
      <c r="F44" s="83"/>
      <c r="G44" s="83"/>
      <c r="H44" s="478"/>
      <c r="I44" s="537"/>
      <c r="J44" s="83"/>
      <c r="K44" s="83"/>
      <c r="L44" s="83"/>
      <c r="M44" s="99"/>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row>
    <row r="45" spans="1:52" ht="15">
      <c r="A45" s="707"/>
      <c r="B45" s="1258" t="str">
        <f>CONCATENATE("          I   Sri./Smt. ",DATA!F17,"  working in the capacity of  ",DATA!F18,"  do hereby certify that sum of Rs.  ",DATA!BI220,"   Rupees inwords    (   ",DATA!BO220," ) ","  has been deducted  at  source and paid to the credit of the central Government. I further certify that the Informtion  given above is true, complete and correct based on the books of account, documents and other available records.")</f>
        <v>          I   Sri./Smt. T.V.Sreenivasulu  working in the capacity of  Head Master  do hereby certify that sum of Rs.  12039   Rupees inwords    (     Twelve Thousands   and Thirty Nine  only )   has been deducted  at  source and paid to the credit of the central Government. I further certify that the Informtion  given above is true, complete and correct based on the books of account, documents and other available records.</v>
      </c>
      <c r="C45" s="1259"/>
      <c r="D45" s="1259"/>
      <c r="E45" s="1259"/>
      <c r="F45" s="1259"/>
      <c r="G45" s="1259"/>
      <c r="H45" s="1259"/>
      <c r="I45" s="1259"/>
      <c r="J45" s="1259"/>
      <c r="K45" s="1259"/>
      <c r="L45" s="1259"/>
      <c r="M45" s="1260"/>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row>
    <row r="46" spans="1:52" ht="20.25" customHeight="1">
      <c r="A46" s="707"/>
      <c r="B46" s="1258"/>
      <c r="C46" s="1259"/>
      <c r="D46" s="1259"/>
      <c r="E46" s="1259"/>
      <c r="F46" s="1259"/>
      <c r="G46" s="1259"/>
      <c r="H46" s="1259"/>
      <c r="I46" s="1259"/>
      <c r="J46" s="1259"/>
      <c r="K46" s="1259"/>
      <c r="L46" s="1259"/>
      <c r="M46" s="1260"/>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row>
    <row r="47" spans="1:52" ht="20.25" customHeight="1">
      <c r="A47" s="707"/>
      <c r="B47" s="1258"/>
      <c r="C47" s="1259"/>
      <c r="D47" s="1259"/>
      <c r="E47" s="1259"/>
      <c r="F47" s="1259"/>
      <c r="G47" s="1259"/>
      <c r="H47" s="1259"/>
      <c r="I47" s="1259"/>
      <c r="J47" s="1259"/>
      <c r="K47" s="1259"/>
      <c r="L47" s="1259"/>
      <c r="M47" s="1260"/>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row>
    <row r="48" spans="1:52" ht="20.25" customHeight="1">
      <c r="A48" s="707"/>
      <c r="B48" s="1258"/>
      <c r="C48" s="1259"/>
      <c r="D48" s="1259"/>
      <c r="E48" s="1259"/>
      <c r="F48" s="1259"/>
      <c r="G48" s="1259"/>
      <c r="H48" s="1259"/>
      <c r="I48" s="1259"/>
      <c r="J48" s="1259"/>
      <c r="K48" s="1259"/>
      <c r="L48" s="1259"/>
      <c r="M48" s="1260"/>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row>
    <row r="49" spans="1:52" ht="10.5" customHeight="1">
      <c r="A49" s="707"/>
      <c r="B49" s="100"/>
      <c r="C49" s="101"/>
      <c r="D49" s="101"/>
      <c r="E49" s="101"/>
      <c r="F49" s="101"/>
      <c r="G49" s="101"/>
      <c r="H49" s="101"/>
      <c r="I49" s="101"/>
      <c r="J49" s="101"/>
      <c r="K49" s="101"/>
      <c r="L49" s="101"/>
      <c r="M49" s="102"/>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row>
    <row r="50" spans="1:52" ht="15">
      <c r="A50" s="707"/>
      <c r="B50" s="103"/>
      <c r="C50" s="90"/>
      <c r="D50" s="90"/>
      <c r="E50" s="90"/>
      <c r="F50" s="90"/>
      <c r="G50" s="90" t="s">
        <v>446</v>
      </c>
      <c r="H50" s="90"/>
      <c r="I50" s="90"/>
      <c r="J50" s="90"/>
      <c r="K50" s="90"/>
      <c r="L50" s="90"/>
      <c r="M50" s="104"/>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07"/>
      <c r="AY50" s="707"/>
      <c r="AZ50" s="707"/>
    </row>
    <row r="51" spans="1:52" ht="8.25" customHeight="1">
      <c r="A51" s="707"/>
      <c r="B51" s="103"/>
      <c r="C51" s="90"/>
      <c r="D51" s="90"/>
      <c r="E51" s="90"/>
      <c r="F51" s="90"/>
      <c r="G51" s="90"/>
      <c r="H51" s="90"/>
      <c r="I51" s="90"/>
      <c r="J51" s="90"/>
      <c r="K51" s="90"/>
      <c r="L51" s="90"/>
      <c r="M51" s="104"/>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7"/>
      <c r="AO51" s="707"/>
      <c r="AP51" s="707"/>
      <c r="AQ51" s="707"/>
      <c r="AR51" s="707"/>
      <c r="AS51" s="707"/>
      <c r="AT51" s="707"/>
      <c r="AU51" s="707"/>
      <c r="AV51" s="707"/>
      <c r="AW51" s="707"/>
      <c r="AX51" s="707"/>
      <c r="AY51" s="707"/>
      <c r="AZ51" s="707"/>
    </row>
    <row r="52" spans="1:52" ht="15">
      <c r="A52" s="707"/>
      <c r="B52" s="1252" t="s">
        <v>447</v>
      </c>
      <c r="C52" s="1252"/>
      <c r="D52" s="534" t="str">
        <f>DATA!F19</f>
        <v>ZPHS, Jonnagiri</v>
      </c>
      <c r="E52" s="533"/>
      <c r="F52" s="90"/>
      <c r="G52" s="468" t="s">
        <v>448</v>
      </c>
      <c r="H52" s="528"/>
      <c r="I52" s="528"/>
      <c r="J52" s="468"/>
      <c r="K52" s="528"/>
      <c r="L52" s="90"/>
      <c r="M52" s="105"/>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row>
    <row r="53" spans="1:52" ht="15">
      <c r="A53" s="707"/>
      <c r="B53" s="1252" t="s">
        <v>449</v>
      </c>
      <c r="C53" s="1252"/>
      <c r="D53" s="1253">
        <f ca="1">TODAY()</f>
        <v>42035</v>
      </c>
      <c r="E53" s="1253"/>
      <c r="F53" s="106"/>
      <c r="G53" s="529" t="s">
        <v>450</v>
      </c>
      <c r="H53" s="530" t="str">
        <f>CONCATENATE("Sri./Smt. ",DATA!F17)</f>
        <v>Sri./Smt. T.V.Sreenivasulu</v>
      </c>
      <c r="I53" s="530"/>
      <c r="J53" s="531"/>
      <c r="K53" s="528"/>
      <c r="L53" s="90"/>
      <c r="M53" s="1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row>
    <row r="54" spans="1:52" ht="15">
      <c r="A54" s="707"/>
      <c r="B54" s="103"/>
      <c r="C54" s="90"/>
      <c r="D54" s="90"/>
      <c r="E54" s="90"/>
      <c r="F54" s="108"/>
      <c r="G54" s="468" t="s">
        <v>451</v>
      </c>
      <c r="H54" s="530" t="str">
        <f>DATA!F18</f>
        <v>Head Master</v>
      </c>
      <c r="I54" s="530"/>
      <c r="J54" s="532"/>
      <c r="K54" s="528"/>
      <c r="L54" s="90"/>
      <c r="M54" s="1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row>
    <row r="55" spans="1:52" ht="15">
      <c r="A55" s="707"/>
      <c r="B55" s="98"/>
      <c r="C55" s="83"/>
      <c r="D55" s="83"/>
      <c r="E55" s="83"/>
      <c r="F55" s="83"/>
      <c r="G55" s="83"/>
      <c r="H55" s="83"/>
      <c r="I55" s="83"/>
      <c r="J55" s="83"/>
      <c r="K55" s="83"/>
      <c r="L55" s="83"/>
      <c r="M55" s="99"/>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row>
    <row r="56" spans="1:52" ht="15.75" thickBot="1">
      <c r="A56" s="707"/>
      <c r="B56" s="109"/>
      <c r="C56" s="110"/>
      <c r="D56" s="110"/>
      <c r="E56" s="110"/>
      <c r="F56" s="110"/>
      <c r="G56" s="110"/>
      <c r="H56" s="110"/>
      <c r="I56" s="110"/>
      <c r="J56" s="110"/>
      <c r="K56" s="110"/>
      <c r="L56" s="110"/>
      <c r="M56" s="111"/>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row>
    <row r="57" spans="1:52" ht="15">
      <c r="A57" s="707"/>
      <c r="B57" s="343" t="s">
        <v>793</v>
      </c>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row>
    <row r="58" spans="1:52" ht="15">
      <c r="A58" s="707"/>
      <c r="B58" s="707"/>
      <c r="C58" s="707"/>
      <c r="D58" s="707"/>
      <c r="E58" s="707"/>
      <c r="F58" s="707"/>
      <c r="G58" s="707"/>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row>
    <row r="59" spans="1:52" ht="15">
      <c r="A59" s="707"/>
      <c r="B59" s="707"/>
      <c r="C59" s="707"/>
      <c r="D59" s="707"/>
      <c r="E59" s="707"/>
      <c r="F59" s="707"/>
      <c r="G59" s="707"/>
      <c r="H59" s="707"/>
      <c r="I59" s="707"/>
      <c r="J59" s="707"/>
      <c r="K59" s="707"/>
      <c r="L59" s="707"/>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row>
    <row r="60" spans="1:52" ht="15">
      <c r="A60" s="707"/>
      <c r="B60" s="707"/>
      <c r="C60" s="707"/>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7"/>
      <c r="AN60" s="707"/>
      <c r="AO60" s="707"/>
      <c r="AP60" s="707"/>
      <c r="AQ60" s="707"/>
      <c r="AR60" s="707"/>
      <c r="AS60" s="707"/>
      <c r="AT60" s="707"/>
      <c r="AU60" s="707"/>
      <c r="AV60" s="707"/>
      <c r="AW60" s="707"/>
      <c r="AX60" s="707"/>
      <c r="AY60" s="707"/>
      <c r="AZ60" s="707"/>
    </row>
    <row r="61" spans="1:52" ht="15">
      <c r="A61" s="707"/>
      <c r="B61" s="707"/>
      <c r="C61" s="707"/>
      <c r="D61" s="707"/>
      <c r="E61" s="707"/>
      <c r="F61" s="707"/>
      <c r="G61" s="707"/>
      <c r="H61" s="707"/>
      <c r="I61" s="707"/>
      <c r="J61" s="707"/>
      <c r="K61" s="707"/>
      <c r="L61" s="707"/>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7"/>
      <c r="AO61" s="707"/>
      <c r="AP61" s="707"/>
      <c r="AQ61" s="707"/>
      <c r="AR61" s="707"/>
      <c r="AS61" s="707"/>
      <c r="AT61" s="707"/>
      <c r="AU61" s="707"/>
      <c r="AV61" s="707"/>
      <c r="AW61" s="707"/>
      <c r="AX61" s="707"/>
      <c r="AY61" s="707"/>
      <c r="AZ61" s="707"/>
    </row>
    <row r="62" spans="1:52" ht="15">
      <c r="A62" s="707"/>
      <c r="B62" s="707"/>
      <c r="C62" s="707"/>
      <c r="D62" s="707"/>
      <c r="E62" s="707"/>
      <c r="F62" s="707"/>
      <c r="G62" s="707"/>
      <c r="H62" s="707"/>
      <c r="I62" s="707"/>
      <c r="J62" s="707"/>
      <c r="K62" s="707"/>
      <c r="L62" s="707"/>
      <c r="M62" s="707"/>
      <c r="N62" s="707"/>
      <c r="O62" s="707"/>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7"/>
      <c r="AN62" s="707"/>
      <c r="AO62" s="707"/>
      <c r="AP62" s="707"/>
      <c r="AQ62" s="707"/>
      <c r="AR62" s="707"/>
      <c r="AS62" s="707"/>
      <c r="AT62" s="707"/>
      <c r="AU62" s="707"/>
      <c r="AV62" s="707"/>
      <c r="AW62" s="707"/>
      <c r="AX62" s="707"/>
      <c r="AY62" s="707"/>
      <c r="AZ62" s="707"/>
    </row>
    <row r="63" spans="1:52" ht="15">
      <c r="A63" s="707"/>
      <c r="B63" s="707"/>
      <c r="C63" s="707"/>
      <c r="D63" s="707"/>
      <c r="E63" s="707"/>
      <c r="F63" s="707"/>
      <c r="G63" s="707"/>
      <c r="H63" s="707"/>
      <c r="I63" s="707"/>
      <c r="J63" s="707"/>
      <c r="K63" s="707"/>
      <c r="L63" s="707"/>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row>
    <row r="64" spans="1:52" ht="15">
      <c r="A64" s="707"/>
      <c r="B64" s="707"/>
      <c r="C64" s="707"/>
      <c r="D64" s="707"/>
      <c r="E64" s="707"/>
      <c r="F64" s="707"/>
      <c r="G64" s="707"/>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7"/>
      <c r="AY64" s="707"/>
      <c r="AZ64" s="707"/>
    </row>
    <row r="65" spans="1:52" ht="15">
      <c r="A65" s="707"/>
      <c r="B65" s="707"/>
      <c r="C65" s="707"/>
      <c r="D65" s="707"/>
      <c r="E65" s="707"/>
      <c r="F65" s="707"/>
      <c r="G65" s="707"/>
      <c r="H65" s="707"/>
      <c r="I65" s="707"/>
      <c r="J65" s="707"/>
      <c r="K65" s="707"/>
      <c r="L65" s="707"/>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row>
    <row r="66" spans="1:52" ht="15">
      <c r="A66" s="707"/>
      <c r="B66" s="707"/>
      <c r="C66" s="707"/>
      <c r="D66" s="707"/>
      <c r="E66" s="707"/>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707"/>
      <c r="AR66" s="707"/>
      <c r="AS66" s="707"/>
      <c r="AT66" s="707"/>
      <c r="AU66" s="707"/>
      <c r="AV66" s="707"/>
      <c r="AW66" s="707"/>
      <c r="AX66" s="707"/>
      <c r="AY66" s="707"/>
      <c r="AZ66" s="707"/>
    </row>
    <row r="67" spans="1:52" ht="15">
      <c r="A67" s="707"/>
      <c r="B67" s="707"/>
      <c r="C67" s="707"/>
      <c r="D67" s="707"/>
      <c r="E67" s="707"/>
      <c r="F67" s="707"/>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707"/>
      <c r="AZ67" s="707"/>
    </row>
    <row r="68" spans="1:52" ht="15">
      <c r="A68" s="707"/>
      <c r="B68" s="707"/>
      <c r="C68" s="707"/>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7"/>
      <c r="AZ68" s="707"/>
    </row>
    <row r="69" spans="1:52" ht="15">
      <c r="A69" s="707"/>
      <c r="B69" s="707"/>
      <c r="C69" s="707"/>
      <c r="D69" s="707"/>
      <c r="E69" s="707"/>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707"/>
      <c r="AV69" s="707"/>
      <c r="AW69" s="707"/>
      <c r="AX69" s="707"/>
      <c r="AY69" s="707"/>
      <c r="AZ69" s="707"/>
    </row>
    <row r="70" spans="1:52" ht="15">
      <c r="A70" s="707"/>
      <c r="B70" s="707"/>
      <c r="C70" s="707"/>
      <c r="D70" s="707"/>
      <c r="E70" s="707"/>
      <c r="F70" s="707"/>
      <c r="G70" s="707"/>
      <c r="H70" s="707"/>
      <c r="I70" s="707"/>
      <c r="J70" s="707"/>
      <c r="K70" s="707"/>
      <c r="L70" s="707"/>
      <c r="M70" s="707"/>
      <c r="N70" s="707"/>
      <c r="O70" s="707"/>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7"/>
      <c r="AO70" s="707"/>
      <c r="AP70" s="707"/>
      <c r="AQ70" s="707"/>
      <c r="AR70" s="707"/>
      <c r="AS70" s="707"/>
      <c r="AT70" s="707"/>
      <c r="AU70" s="707"/>
      <c r="AV70" s="707"/>
      <c r="AW70" s="707"/>
      <c r="AX70" s="707"/>
      <c r="AY70" s="707"/>
      <c r="AZ70" s="707"/>
    </row>
    <row r="71" spans="1:52" ht="15">
      <c r="A71" s="707"/>
      <c r="B71" s="707"/>
      <c r="C71" s="707"/>
      <c r="D71" s="707"/>
      <c r="E71" s="707"/>
      <c r="F71" s="707"/>
      <c r="G71" s="707"/>
      <c r="H71" s="707"/>
      <c r="I71" s="707"/>
      <c r="J71" s="707"/>
      <c r="K71" s="707"/>
      <c r="L71" s="707"/>
      <c r="M71" s="707"/>
      <c r="N71" s="707"/>
      <c r="O71" s="707"/>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7"/>
      <c r="AO71" s="707"/>
      <c r="AP71" s="707"/>
      <c r="AQ71" s="707"/>
      <c r="AR71" s="707"/>
      <c r="AS71" s="707"/>
      <c r="AT71" s="707"/>
      <c r="AU71" s="707"/>
      <c r="AV71" s="707"/>
      <c r="AW71" s="707"/>
      <c r="AX71" s="707"/>
      <c r="AY71" s="707"/>
      <c r="AZ71" s="707"/>
    </row>
    <row r="72" spans="1:52" ht="15">
      <c r="A72" s="707"/>
      <c r="B72" s="707"/>
      <c r="C72" s="707"/>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row>
    <row r="73" spans="1:52" ht="15">
      <c r="A73" s="707"/>
      <c r="B73" s="707"/>
      <c r="C73" s="707"/>
      <c r="D73" s="707"/>
      <c r="E73" s="707"/>
      <c r="F73" s="707"/>
      <c r="G73" s="707"/>
      <c r="H73" s="707"/>
      <c r="I73" s="707"/>
      <c r="J73" s="707"/>
      <c r="K73" s="707"/>
      <c r="L73" s="707"/>
      <c r="M73" s="707"/>
      <c r="N73" s="707"/>
      <c r="O73" s="707"/>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row>
    <row r="74" spans="1:52" ht="15">
      <c r="A74" s="707"/>
      <c r="B74" s="707"/>
      <c r="C74" s="707"/>
      <c r="D74" s="707"/>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row>
    <row r="75" spans="1:52" ht="15">
      <c r="A75" s="707"/>
      <c r="B75" s="707"/>
      <c r="C75" s="707"/>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707"/>
      <c r="AZ75" s="707"/>
    </row>
    <row r="76" spans="1:52" ht="15">
      <c r="A76" s="707"/>
      <c r="B76" s="707"/>
      <c r="C76" s="707"/>
      <c r="D76" s="707"/>
      <c r="E76" s="707"/>
      <c r="F76" s="707"/>
      <c r="G76" s="707"/>
      <c r="H76" s="707"/>
      <c r="I76" s="707"/>
      <c r="J76" s="707"/>
      <c r="K76" s="707"/>
      <c r="L76" s="707"/>
      <c r="M76" s="707"/>
      <c r="N76" s="707"/>
      <c r="O76" s="707"/>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7"/>
      <c r="AO76" s="707"/>
      <c r="AP76" s="707"/>
      <c r="AQ76" s="707"/>
      <c r="AR76" s="707"/>
      <c r="AS76" s="707"/>
      <c r="AT76" s="707"/>
      <c r="AU76" s="707"/>
      <c r="AV76" s="707"/>
      <c r="AW76" s="707"/>
      <c r="AX76" s="707"/>
      <c r="AY76" s="707"/>
      <c r="AZ76" s="707"/>
    </row>
    <row r="77" spans="1:52" ht="15">
      <c r="A77" s="707"/>
      <c r="B77" s="707"/>
      <c r="C77" s="707"/>
      <c r="D77" s="707"/>
      <c r="E77" s="707"/>
      <c r="F77" s="707"/>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7"/>
      <c r="AS77" s="707"/>
      <c r="AT77" s="707"/>
      <c r="AU77" s="707"/>
      <c r="AV77" s="707"/>
      <c r="AW77" s="707"/>
      <c r="AX77" s="707"/>
      <c r="AY77" s="707"/>
      <c r="AZ77" s="707"/>
    </row>
    <row r="78" spans="1:52" ht="15">
      <c r="A78" s="707"/>
      <c r="B78" s="707"/>
      <c r="C78" s="707"/>
      <c r="D78" s="707"/>
      <c r="E78" s="707"/>
      <c r="F78" s="707"/>
      <c r="G78" s="707"/>
      <c r="H78" s="707"/>
      <c r="I78" s="707"/>
      <c r="J78" s="707"/>
      <c r="K78" s="707"/>
      <c r="L78" s="707"/>
      <c r="M78" s="707"/>
      <c r="N78" s="707"/>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7"/>
      <c r="AY78" s="707"/>
      <c r="AZ78" s="707"/>
    </row>
    <row r="79" spans="1:52" ht="15">
      <c r="A79" s="707"/>
      <c r="B79" s="707"/>
      <c r="C79" s="707"/>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707"/>
      <c r="AP79" s="707"/>
      <c r="AQ79" s="707"/>
      <c r="AR79" s="707"/>
      <c r="AS79" s="707"/>
      <c r="AT79" s="707"/>
      <c r="AU79" s="707"/>
      <c r="AV79" s="707"/>
      <c r="AW79" s="707"/>
      <c r="AX79" s="707"/>
      <c r="AY79" s="707"/>
      <c r="AZ79" s="707"/>
    </row>
    <row r="80" spans="1:52" ht="15">
      <c r="A80" s="707"/>
      <c r="B80" s="707"/>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7"/>
      <c r="AI80" s="707"/>
      <c r="AJ80" s="707"/>
      <c r="AK80" s="707"/>
      <c r="AL80" s="707"/>
      <c r="AM80" s="707"/>
      <c r="AN80" s="707"/>
      <c r="AO80" s="707"/>
      <c r="AP80" s="707"/>
      <c r="AQ80" s="707"/>
      <c r="AR80" s="707"/>
      <c r="AS80" s="707"/>
      <c r="AT80" s="707"/>
      <c r="AU80" s="707"/>
      <c r="AV80" s="707"/>
      <c r="AW80" s="707"/>
      <c r="AX80" s="707"/>
      <c r="AY80" s="707"/>
      <c r="AZ80" s="707"/>
    </row>
    <row r="81" spans="1:52" ht="15">
      <c r="A81" s="707"/>
      <c r="B81" s="707"/>
      <c r="C81" s="707"/>
      <c r="D81" s="707"/>
      <c r="E81" s="707"/>
      <c r="F81" s="707"/>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7"/>
      <c r="AO81" s="707"/>
      <c r="AP81" s="707"/>
      <c r="AQ81" s="707"/>
      <c r="AR81" s="707"/>
      <c r="AS81" s="707"/>
      <c r="AT81" s="707"/>
      <c r="AU81" s="707"/>
      <c r="AV81" s="707"/>
      <c r="AW81" s="707"/>
      <c r="AX81" s="707"/>
      <c r="AY81" s="707"/>
      <c r="AZ81" s="707"/>
    </row>
    <row r="82" spans="1:52" ht="15">
      <c r="A82" s="707"/>
      <c r="B82" s="707"/>
      <c r="C82" s="707"/>
      <c r="D82" s="707"/>
      <c r="E82" s="707"/>
      <c r="F82" s="707"/>
      <c r="G82" s="707"/>
      <c r="H82" s="707"/>
      <c r="I82" s="707"/>
      <c r="J82" s="707"/>
      <c r="K82" s="707"/>
      <c r="L82" s="707"/>
      <c r="M82" s="707"/>
      <c r="N82" s="707"/>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707"/>
      <c r="AY82" s="707"/>
      <c r="AZ82" s="707"/>
    </row>
    <row r="83" spans="1:52" ht="15">
      <c r="A83" s="707"/>
      <c r="B83" s="707"/>
      <c r="C83" s="707"/>
      <c r="D83" s="707"/>
      <c r="E83" s="707"/>
      <c r="F83" s="707"/>
      <c r="G83" s="707"/>
      <c r="H83" s="707"/>
      <c r="I83" s="707"/>
      <c r="J83" s="707"/>
      <c r="K83" s="707"/>
      <c r="L83" s="707"/>
      <c r="M83" s="707"/>
      <c r="N83" s="707"/>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707"/>
      <c r="AY83" s="707"/>
      <c r="AZ83" s="707"/>
    </row>
    <row r="84" spans="1:52" ht="15">
      <c r="A84" s="707"/>
      <c r="B84" s="707"/>
      <c r="C84" s="707"/>
      <c r="D84" s="707"/>
      <c r="E84" s="707"/>
      <c r="F84" s="707"/>
      <c r="G84" s="707"/>
      <c r="H84" s="707"/>
      <c r="I84" s="707"/>
      <c r="J84" s="707"/>
      <c r="K84" s="707"/>
      <c r="L84" s="707"/>
      <c r="M84" s="707"/>
      <c r="N84" s="707"/>
      <c r="O84" s="707"/>
      <c r="P84" s="707"/>
      <c r="Q84" s="707"/>
      <c r="R84" s="707"/>
      <c r="S84" s="707"/>
      <c r="T84" s="707"/>
      <c r="U84" s="707"/>
      <c r="V84" s="707"/>
      <c r="W84" s="707"/>
      <c r="X84" s="707"/>
      <c r="Y84" s="707"/>
      <c r="Z84" s="707"/>
      <c r="AA84" s="707"/>
      <c r="AB84" s="707"/>
      <c r="AC84" s="707"/>
      <c r="AD84" s="707"/>
      <c r="AE84" s="707"/>
      <c r="AF84" s="707"/>
      <c r="AG84" s="707"/>
      <c r="AH84" s="707"/>
      <c r="AI84" s="707"/>
      <c r="AJ84" s="707"/>
      <c r="AK84" s="707"/>
      <c r="AL84" s="707"/>
      <c r="AM84" s="707"/>
      <c r="AN84" s="707"/>
      <c r="AO84" s="707"/>
      <c r="AP84" s="707"/>
      <c r="AQ84" s="707"/>
      <c r="AR84" s="707"/>
      <c r="AS84" s="707"/>
      <c r="AT84" s="707"/>
      <c r="AU84" s="707"/>
      <c r="AV84" s="707"/>
      <c r="AW84" s="707"/>
      <c r="AX84" s="707"/>
      <c r="AY84" s="707"/>
      <c r="AZ84" s="707"/>
    </row>
    <row r="85" spans="1:52" ht="15">
      <c r="A85" s="707"/>
      <c r="B85" s="707"/>
      <c r="C85" s="707"/>
      <c r="D85" s="707"/>
      <c r="E85" s="707"/>
      <c r="F85" s="707"/>
      <c r="G85" s="707"/>
      <c r="H85" s="707"/>
      <c r="I85" s="707"/>
      <c r="J85" s="707"/>
      <c r="K85" s="707"/>
      <c r="L85" s="707"/>
      <c r="M85" s="707"/>
      <c r="N85" s="707"/>
      <c r="O85" s="707"/>
      <c r="P85" s="707"/>
      <c r="Q85" s="707"/>
      <c r="R85" s="707"/>
      <c r="S85" s="707"/>
      <c r="T85" s="707"/>
      <c r="U85" s="707"/>
      <c r="V85" s="707"/>
      <c r="W85" s="707"/>
      <c r="X85" s="707"/>
      <c r="Y85" s="707"/>
      <c r="Z85" s="707"/>
      <c r="AA85" s="707"/>
      <c r="AB85" s="707"/>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07"/>
      <c r="AY85" s="707"/>
      <c r="AZ85" s="707"/>
    </row>
    <row r="86" spans="1:52" ht="15">
      <c r="A86" s="707"/>
      <c r="B86" s="707"/>
      <c r="C86" s="707"/>
      <c r="D86" s="707"/>
      <c r="E86" s="707"/>
      <c r="F86" s="707"/>
      <c r="G86" s="707"/>
      <c r="H86" s="707"/>
      <c r="I86" s="707"/>
      <c r="J86" s="707"/>
      <c r="K86" s="707"/>
      <c r="L86" s="707"/>
      <c r="M86" s="707"/>
      <c r="N86" s="707"/>
      <c r="O86" s="707"/>
      <c r="P86" s="707"/>
      <c r="Q86" s="707"/>
      <c r="R86" s="707"/>
      <c r="S86" s="707"/>
      <c r="T86" s="707"/>
      <c r="U86" s="707"/>
      <c r="V86" s="707"/>
      <c r="W86" s="707"/>
      <c r="X86" s="707"/>
      <c r="Y86" s="707"/>
      <c r="Z86" s="707"/>
      <c r="AA86" s="707"/>
      <c r="AB86" s="707"/>
      <c r="AC86" s="707"/>
      <c r="AD86" s="707"/>
      <c r="AE86" s="707"/>
      <c r="AF86" s="707"/>
      <c r="AG86" s="707"/>
      <c r="AH86" s="707"/>
      <c r="AI86" s="707"/>
      <c r="AJ86" s="707"/>
      <c r="AK86" s="707"/>
      <c r="AL86" s="707"/>
      <c r="AM86" s="707"/>
      <c r="AN86" s="707"/>
      <c r="AO86" s="707"/>
      <c r="AP86" s="707"/>
      <c r="AQ86" s="707"/>
      <c r="AR86" s="707"/>
      <c r="AS86" s="707"/>
      <c r="AT86" s="707"/>
      <c r="AU86" s="707"/>
      <c r="AV86" s="707"/>
      <c r="AW86" s="707"/>
      <c r="AX86" s="707"/>
      <c r="AY86" s="707"/>
      <c r="AZ86" s="707"/>
    </row>
    <row r="87" spans="1:52" ht="15">
      <c r="A87" s="707"/>
      <c r="B87" s="707"/>
      <c r="C87" s="707"/>
      <c r="D87" s="707"/>
      <c r="E87" s="707"/>
      <c r="F87" s="707"/>
      <c r="G87" s="707"/>
      <c r="H87" s="707"/>
      <c r="I87" s="707"/>
      <c r="J87" s="707"/>
      <c r="K87" s="707"/>
      <c r="L87" s="707"/>
      <c r="M87" s="707"/>
      <c r="N87" s="707"/>
      <c r="O87" s="707"/>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7"/>
      <c r="AO87" s="707"/>
      <c r="AP87" s="707"/>
      <c r="AQ87" s="707"/>
      <c r="AR87" s="707"/>
      <c r="AS87" s="707"/>
      <c r="AT87" s="707"/>
      <c r="AU87" s="707"/>
      <c r="AV87" s="707"/>
      <c r="AW87" s="707"/>
      <c r="AX87" s="707"/>
      <c r="AY87" s="707"/>
      <c r="AZ87" s="707"/>
    </row>
    <row r="88" spans="1:52" ht="15">
      <c r="A88" s="707"/>
      <c r="B88" s="707"/>
      <c r="C88" s="707"/>
      <c r="D88" s="707"/>
      <c r="E88" s="707"/>
      <c r="F88" s="707"/>
      <c r="G88" s="707"/>
      <c r="H88" s="707"/>
      <c r="I88" s="707"/>
      <c r="J88" s="707"/>
      <c r="K88" s="707"/>
      <c r="L88" s="707"/>
      <c r="M88" s="707"/>
      <c r="N88" s="707"/>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7"/>
      <c r="AY88" s="707"/>
      <c r="AZ88" s="707"/>
    </row>
    <row r="89" spans="1:52" ht="15">
      <c r="A89" s="707"/>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c r="Z89" s="707"/>
      <c r="AA89" s="707"/>
      <c r="AB89" s="707"/>
      <c r="AC89" s="707"/>
      <c r="AD89" s="707"/>
      <c r="AE89" s="707"/>
      <c r="AF89" s="707"/>
      <c r="AG89" s="707"/>
      <c r="AH89" s="707"/>
      <c r="AI89" s="707"/>
      <c r="AJ89" s="707"/>
      <c r="AK89" s="707"/>
      <c r="AL89" s="707"/>
      <c r="AM89" s="707"/>
      <c r="AN89" s="707"/>
      <c r="AO89" s="707"/>
      <c r="AP89" s="707"/>
      <c r="AQ89" s="707"/>
      <c r="AR89" s="707"/>
      <c r="AS89" s="707"/>
      <c r="AT89" s="707"/>
      <c r="AU89" s="707"/>
      <c r="AV89" s="707"/>
      <c r="AW89" s="707"/>
      <c r="AX89" s="707"/>
      <c r="AY89" s="707"/>
      <c r="AZ89" s="707"/>
    </row>
    <row r="90" spans="1:52" ht="15">
      <c r="A90" s="707"/>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c r="Z90" s="707"/>
      <c r="AA90" s="707"/>
      <c r="AB90" s="707"/>
      <c r="AC90" s="707"/>
      <c r="AD90" s="707"/>
      <c r="AE90" s="707"/>
      <c r="AF90" s="707"/>
      <c r="AG90" s="707"/>
      <c r="AH90" s="707"/>
      <c r="AI90" s="707"/>
      <c r="AJ90" s="707"/>
      <c r="AK90" s="707"/>
      <c r="AL90" s="707"/>
      <c r="AM90" s="707"/>
      <c r="AN90" s="707"/>
      <c r="AO90" s="707"/>
      <c r="AP90" s="707"/>
      <c r="AQ90" s="707"/>
      <c r="AR90" s="707"/>
      <c r="AS90" s="707"/>
      <c r="AT90" s="707"/>
      <c r="AU90" s="707"/>
      <c r="AV90" s="707"/>
      <c r="AW90" s="707"/>
      <c r="AX90" s="707"/>
      <c r="AY90" s="707"/>
      <c r="AZ90" s="707"/>
    </row>
    <row r="91" spans="1:52" ht="15">
      <c r="A91" s="707"/>
      <c r="B91" s="707"/>
      <c r="C91" s="707"/>
      <c r="D91" s="707"/>
      <c r="E91" s="707"/>
      <c r="F91" s="707"/>
      <c r="G91" s="707"/>
      <c r="H91" s="707"/>
      <c r="I91" s="707"/>
      <c r="J91" s="707"/>
      <c r="K91" s="707"/>
      <c r="L91" s="707"/>
      <c r="M91" s="707"/>
      <c r="N91" s="707"/>
      <c r="O91" s="707"/>
      <c r="P91" s="707"/>
      <c r="Q91" s="707"/>
      <c r="R91" s="707"/>
      <c r="S91" s="707"/>
      <c r="T91" s="707"/>
      <c r="U91" s="707"/>
      <c r="V91" s="707"/>
      <c r="W91" s="707"/>
      <c r="X91" s="707"/>
      <c r="Y91" s="707"/>
      <c r="Z91" s="707"/>
      <c r="AA91" s="707"/>
      <c r="AB91" s="707"/>
      <c r="AC91" s="707"/>
      <c r="AD91" s="707"/>
      <c r="AE91" s="707"/>
      <c r="AF91" s="707"/>
      <c r="AG91" s="707"/>
      <c r="AH91" s="707"/>
      <c r="AI91" s="707"/>
      <c r="AJ91" s="707"/>
      <c r="AK91" s="707"/>
      <c r="AL91" s="707"/>
      <c r="AM91" s="707"/>
      <c r="AN91" s="707"/>
      <c r="AO91" s="707"/>
      <c r="AP91" s="707"/>
      <c r="AQ91" s="707"/>
      <c r="AR91" s="707"/>
      <c r="AS91" s="707"/>
      <c r="AT91" s="707"/>
      <c r="AU91" s="707"/>
      <c r="AV91" s="707"/>
      <c r="AW91" s="707"/>
      <c r="AX91" s="707"/>
      <c r="AY91" s="707"/>
      <c r="AZ91" s="707"/>
    </row>
    <row r="92" spans="1:52" ht="15">
      <c r="A92" s="707"/>
      <c r="B92" s="707"/>
      <c r="C92" s="707"/>
      <c r="D92" s="707"/>
      <c r="E92" s="707"/>
      <c r="F92" s="707"/>
      <c r="G92" s="707"/>
      <c r="H92" s="707"/>
      <c r="I92" s="707"/>
      <c r="J92" s="707"/>
      <c r="K92" s="707"/>
      <c r="L92" s="707"/>
      <c r="M92" s="707"/>
      <c r="N92" s="707"/>
      <c r="O92" s="707"/>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7"/>
      <c r="AO92" s="707"/>
      <c r="AP92" s="707"/>
      <c r="AQ92" s="707"/>
      <c r="AR92" s="707"/>
      <c r="AS92" s="707"/>
      <c r="AT92" s="707"/>
      <c r="AU92" s="707"/>
      <c r="AV92" s="707"/>
      <c r="AW92" s="707"/>
      <c r="AX92" s="707"/>
      <c r="AY92" s="707"/>
      <c r="AZ92" s="707"/>
    </row>
    <row r="93" spans="1:52" ht="15">
      <c r="A93" s="707"/>
      <c r="B93" s="707"/>
      <c r="C93" s="707"/>
      <c r="D93" s="707"/>
      <c r="E93" s="707"/>
      <c r="F93" s="707"/>
      <c r="G93" s="707"/>
      <c r="H93" s="707"/>
      <c r="I93" s="707"/>
      <c r="J93" s="707"/>
      <c r="K93" s="707"/>
      <c r="L93" s="707"/>
      <c r="M93" s="707"/>
      <c r="N93" s="707"/>
      <c r="O93" s="707"/>
      <c r="P93" s="707"/>
      <c r="Q93" s="707"/>
      <c r="R93" s="707"/>
      <c r="S93" s="707"/>
      <c r="T93" s="707"/>
      <c r="U93" s="707"/>
      <c r="V93" s="707"/>
      <c r="W93" s="707"/>
      <c r="X93" s="707"/>
      <c r="Y93" s="707"/>
      <c r="Z93" s="707"/>
      <c r="AA93" s="707"/>
      <c r="AB93" s="707"/>
      <c r="AC93" s="707"/>
      <c r="AD93" s="707"/>
      <c r="AE93" s="707"/>
      <c r="AF93" s="707"/>
      <c r="AG93" s="707"/>
      <c r="AH93" s="707"/>
      <c r="AI93" s="707"/>
      <c r="AJ93" s="707"/>
      <c r="AK93" s="707"/>
      <c r="AL93" s="707"/>
      <c r="AM93" s="707"/>
      <c r="AN93" s="707"/>
      <c r="AO93" s="707"/>
      <c r="AP93" s="707"/>
      <c r="AQ93" s="707"/>
      <c r="AR93" s="707"/>
      <c r="AS93" s="707"/>
      <c r="AT93" s="707"/>
      <c r="AU93" s="707"/>
      <c r="AV93" s="707"/>
      <c r="AW93" s="707"/>
      <c r="AX93" s="707"/>
      <c r="AY93" s="707"/>
      <c r="AZ93" s="707"/>
    </row>
    <row r="94" spans="1:52" ht="15">
      <c r="A94" s="707"/>
      <c r="B94" s="707"/>
      <c r="C94" s="707"/>
      <c r="D94" s="707"/>
      <c r="E94" s="707"/>
      <c r="F94" s="707"/>
      <c r="G94" s="707"/>
      <c r="H94" s="707"/>
      <c r="I94" s="707"/>
      <c r="J94" s="707"/>
      <c r="K94" s="707"/>
      <c r="L94" s="707"/>
      <c r="M94" s="707"/>
      <c r="N94" s="707"/>
      <c r="O94" s="707"/>
      <c r="P94" s="707"/>
      <c r="Q94" s="707"/>
      <c r="R94" s="707"/>
      <c r="S94" s="707"/>
      <c r="T94" s="707"/>
      <c r="U94" s="707"/>
      <c r="V94" s="707"/>
      <c r="W94" s="707"/>
      <c r="X94" s="707"/>
      <c r="Y94" s="707"/>
      <c r="Z94" s="707"/>
      <c r="AA94" s="707"/>
      <c r="AB94" s="707"/>
      <c r="AC94" s="707"/>
      <c r="AD94" s="707"/>
      <c r="AE94" s="707"/>
      <c r="AF94" s="707"/>
      <c r="AG94" s="707"/>
      <c r="AH94" s="707"/>
      <c r="AI94" s="707"/>
      <c r="AJ94" s="707"/>
      <c r="AK94" s="707"/>
      <c r="AL94" s="707"/>
      <c r="AM94" s="707"/>
      <c r="AN94" s="707"/>
      <c r="AO94" s="707"/>
      <c r="AP94" s="707"/>
      <c r="AQ94" s="707"/>
      <c r="AR94" s="707"/>
      <c r="AS94" s="707"/>
      <c r="AT94" s="707"/>
      <c r="AU94" s="707"/>
      <c r="AV94" s="707"/>
      <c r="AW94" s="707"/>
      <c r="AX94" s="707"/>
      <c r="AY94" s="707"/>
      <c r="AZ94" s="707"/>
    </row>
    <row r="95" spans="1:52" ht="15">
      <c r="A95" s="707"/>
      <c r="B95" s="707"/>
      <c r="C95" s="707"/>
      <c r="D95" s="707"/>
      <c r="E95" s="707"/>
      <c r="F95" s="707"/>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7"/>
      <c r="AZ95" s="707"/>
    </row>
    <row r="96" spans="1:52" ht="15">
      <c r="A96" s="707"/>
      <c r="B96" s="707"/>
      <c r="C96" s="707"/>
      <c r="D96" s="707"/>
      <c r="E96" s="707"/>
      <c r="F96" s="707"/>
      <c r="G96" s="707"/>
      <c r="H96" s="707"/>
      <c r="I96" s="707"/>
      <c r="J96" s="707"/>
      <c r="K96" s="707"/>
      <c r="L96" s="707"/>
      <c r="M96" s="707"/>
      <c r="N96" s="707"/>
      <c r="O96" s="707"/>
      <c r="P96" s="707"/>
      <c r="Q96" s="707"/>
      <c r="R96" s="707"/>
      <c r="S96" s="707"/>
      <c r="T96" s="707"/>
      <c r="U96" s="707"/>
      <c r="V96" s="707"/>
      <c r="W96" s="707"/>
      <c r="X96" s="707"/>
      <c r="Y96" s="707"/>
      <c r="Z96" s="707"/>
      <c r="AA96" s="707"/>
      <c r="AB96" s="707"/>
      <c r="AC96" s="707"/>
      <c r="AD96" s="707"/>
      <c r="AE96" s="707"/>
      <c r="AF96" s="707"/>
      <c r="AG96" s="707"/>
      <c r="AH96" s="707"/>
      <c r="AI96" s="707"/>
      <c r="AJ96" s="707"/>
      <c r="AK96" s="707"/>
      <c r="AL96" s="707"/>
      <c r="AM96" s="707"/>
      <c r="AN96" s="707"/>
      <c r="AO96" s="707"/>
      <c r="AP96" s="707"/>
      <c r="AQ96" s="707"/>
      <c r="AR96" s="707"/>
      <c r="AS96" s="707"/>
      <c r="AT96" s="707"/>
      <c r="AU96" s="707"/>
      <c r="AV96" s="707"/>
      <c r="AW96" s="707"/>
      <c r="AX96" s="707"/>
      <c r="AY96" s="707"/>
      <c r="AZ96" s="707"/>
    </row>
    <row r="97" spans="1:52" ht="15">
      <c r="A97" s="707"/>
      <c r="B97" s="707"/>
      <c r="C97" s="707"/>
      <c r="D97" s="707"/>
      <c r="E97" s="707"/>
      <c r="F97" s="707"/>
      <c r="G97" s="707"/>
      <c r="H97" s="707"/>
      <c r="I97" s="707"/>
      <c r="J97" s="707"/>
      <c r="K97" s="707"/>
      <c r="L97" s="707"/>
      <c r="M97" s="707"/>
      <c r="N97" s="707"/>
      <c r="O97" s="707"/>
      <c r="P97" s="707"/>
      <c r="Q97" s="707"/>
      <c r="R97" s="707"/>
      <c r="S97" s="707"/>
      <c r="T97" s="707"/>
      <c r="U97" s="707"/>
      <c r="V97" s="707"/>
      <c r="W97" s="707"/>
      <c r="X97" s="707"/>
      <c r="Y97" s="707"/>
      <c r="Z97" s="707"/>
      <c r="AA97" s="707"/>
      <c r="AB97" s="707"/>
      <c r="AC97" s="707"/>
      <c r="AD97" s="707"/>
      <c r="AE97" s="707"/>
      <c r="AF97" s="707"/>
      <c r="AG97" s="707"/>
      <c r="AH97" s="707"/>
      <c r="AI97" s="707"/>
      <c r="AJ97" s="707"/>
      <c r="AK97" s="707"/>
      <c r="AL97" s="707"/>
      <c r="AM97" s="707"/>
      <c r="AN97" s="707"/>
      <c r="AO97" s="707"/>
      <c r="AP97" s="707"/>
      <c r="AQ97" s="707"/>
      <c r="AR97" s="707"/>
      <c r="AS97" s="707"/>
      <c r="AT97" s="707"/>
      <c r="AU97" s="707"/>
      <c r="AV97" s="707"/>
      <c r="AW97" s="707"/>
      <c r="AX97" s="707"/>
      <c r="AY97" s="707"/>
      <c r="AZ97" s="707"/>
    </row>
    <row r="98" spans="1:52" ht="15">
      <c r="A98" s="707"/>
      <c r="B98" s="707"/>
      <c r="C98" s="707"/>
      <c r="D98" s="707"/>
      <c r="E98" s="707"/>
      <c r="F98" s="707"/>
      <c r="G98" s="707"/>
      <c r="H98" s="707"/>
      <c r="I98" s="707"/>
      <c r="J98" s="707"/>
      <c r="K98" s="707"/>
      <c r="L98" s="707"/>
      <c r="M98" s="707"/>
      <c r="N98" s="707"/>
      <c r="O98" s="707"/>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7"/>
      <c r="AY98" s="707"/>
      <c r="AZ98" s="707"/>
    </row>
    <row r="99" spans="1:52" ht="15">
      <c r="A99" s="707"/>
      <c r="B99" s="707"/>
      <c r="C99" s="707"/>
      <c r="D99" s="707"/>
      <c r="E99" s="707"/>
      <c r="F99" s="707"/>
      <c r="G99" s="707"/>
      <c r="H99" s="707"/>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7"/>
      <c r="AY99" s="707"/>
      <c r="AZ99" s="707"/>
    </row>
    <row r="100" spans="1:52" ht="15">
      <c r="A100" s="707"/>
      <c r="B100" s="707"/>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7"/>
      <c r="AY100" s="707"/>
      <c r="AZ100" s="707"/>
    </row>
    <row r="101" spans="1:52" ht="15">
      <c r="A101" s="707"/>
      <c r="B101" s="707"/>
      <c r="C101" s="707"/>
      <c r="D101" s="707"/>
      <c r="E101" s="707"/>
      <c r="F101" s="707"/>
      <c r="G101" s="707"/>
      <c r="H101" s="707"/>
      <c r="I101" s="707"/>
      <c r="J101" s="707"/>
      <c r="K101" s="707"/>
      <c r="L101" s="707"/>
      <c r="M101" s="707"/>
      <c r="N101" s="707"/>
      <c r="O101" s="707"/>
      <c r="P101" s="707"/>
      <c r="Q101" s="707"/>
      <c r="R101" s="707"/>
      <c r="S101" s="707"/>
      <c r="T101" s="707"/>
      <c r="U101" s="707"/>
      <c r="V101" s="707"/>
      <c r="W101" s="707"/>
      <c r="X101" s="707"/>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7"/>
      <c r="AY101" s="707"/>
      <c r="AZ101" s="707"/>
    </row>
    <row r="102" spans="1:52" ht="15">
      <c r="A102" s="707"/>
      <c r="B102" s="707"/>
      <c r="C102" s="707"/>
      <c r="D102" s="707"/>
      <c r="E102" s="707"/>
      <c r="F102" s="707"/>
      <c r="G102" s="707"/>
      <c r="H102" s="707"/>
      <c r="I102" s="707"/>
      <c r="J102" s="707"/>
      <c r="K102" s="707"/>
      <c r="L102" s="707"/>
      <c r="M102" s="707"/>
      <c r="N102" s="707"/>
      <c r="O102" s="707"/>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7"/>
      <c r="AY102" s="707"/>
      <c r="AZ102" s="707"/>
    </row>
    <row r="103" spans="1:52" ht="15">
      <c r="A103" s="707"/>
      <c r="B103" s="707"/>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7"/>
      <c r="AY103" s="707"/>
      <c r="AZ103" s="707"/>
    </row>
    <row r="104" spans="1:52" ht="15">
      <c r="A104" s="707"/>
      <c r="B104" s="707"/>
      <c r="C104" s="707"/>
      <c r="D104" s="707"/>
      <c r="E104" s="707"/>
      <c r="F104" s="707"/>
      <c r="G104" s="707"/>
      <c r="H104" s="707"/>
      <c r="I104" s="707"/>
      <c r="J104" s="707"/>
      <c r="K104" s="707"/>
      <c r="L104" s="707"/>
      <c r="M104" s="707"/>
      <c r="N104" s="707"/>
      <c r="O104" s="707"/>
      <c r="P104" s="707"/>
      <c r="Q104" s="707"/>
      <c r="R104" s="707"/>
      <c r="S104" s="707"/>
      <c r="T104" s="707"/>
      <c r="U104" s="707"/>
      <c r="V104" s="707"/>
      <c r="W104" s="707"/>
      <c r="X104" s="707"/>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7"/>
      <c r="AY104" s="707"/>
      <c r="AZ104" s="707"/>
    </row>
    <row r="105" spans="1:52" ht="15">
      <c r="A105" s="707"/>
      <c r="B105" s="707"/>
      <c r="C105" s="707"/>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7"/>
      <c r="AY105" s="707"/>
      <c r="AZ105" s="707"/>
    </row>
    <row r="106" spans="1:52" ht="15">
      <c r="A106" s="707"/>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7"/>
      <c r="AY106" s="707"/>
      <c r="AZ106" s="707"/>
    </row>
    <row r="107" spans="1:52" ht="15">
      <c r="A107" s="707"/>
      <c r="B107" s="707"/>
      <c r="C107" s="707"/>
      <c r="D107" s="707"/>
      <c r="E107" s="707"/>
      <c r="F107" s="707"/>
      <c r="G107" s="707"/>
      <c r="H107" s="707"/>
      <c r="I107" s="707"/>
      <c r="J107" s="707"/>
      <c r="K107" s="707"/>
      <c r="L107" s="707"/>
      <c r="M107" s="707"/>
      <c r="N107" s="707"/>
      <c r="O107" s="707"/>
      <c r="P107" s="707"/>
      <c r="Q107" s="707"/>
      <c r="R107" s="707"/>
      <c r="S107" s="707"/>
      <c r="T107" s="707"/>
      <c r="U107" s="707"/>
      <c r="V107" s="707"/>
      <c r="W107" s="707"/>
      <c r="X107" s="707"/>
      <c r="Y107" s="707"/>
      <c r="Z107" s="707"/>
      <c r="AA107" s="707"/>
      <c r="AB107" s="707"/>
      <c r="AC107" s="707"/>
      <c r="AD107" s="707"/>
      <c r="AE107" s="707"/>
      <c r="AF107" s="707"/>
      <c r="AG107" s="707"/>
      <c r="AH107" s="707"/>
      <c r="AI107" s="707"/>
      <c r="AJ107" s="707"/>
      <c r="AK107" s="707"/>
      <c r="AL107" s="707"/>
      <c r="AM107" s="707"/>
      <c r="AN107" s="707"/>
      <c r="AO107" s="707"/>
      <c r="AP107" s="707"/>
      <c r="AQ107" s="707"/>
      <c r="AR107" s="707"/>
      <c r="AS107" s="707"/>
      <c r="AT107" s="707"/>
      <c r="AU107" s="707"/>
      <c r="AV107" s="707"/>
      <c r="AW107" s="707"/>
      <c r="AX107" s="707"/>
      <c r="AY107" s="707"/>
      <c r="AZ107" s="707"/>
    </row>
    <row r="108" spans="1:52" ht="15">
      <c r="A108" s="707"/>
      <c r="B108" s="707"/>
      <c r="C108" s="707"/>
      <c r="D108" s="707"/>
      <c r="E108" s="707"/>
      <c r="F108" s="707"/>
      <c r="G108" s="707"/>
      <c r="H108" s="707"/>
      <c r="I108" s="707"/>
      <c r="J108" s="707"/>
      <c r="K108" s="707"/>
      <c r="L108" s="707"/>
      <c r="M108" s="707"/>
      <c r="N108" s="707"/>
      <c r="O108" s="707"/>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707"/>
      <c r="AY108" s="707"/>
      <c r="AZ108" s="707"/>
    </row>
    <row r="109" spans="1:52" ht="15">
      <c r="A109" s="707"/>
      <c r="B109" s="707"/>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7"/>
      <c r="AV109" s="707"/>
      <c r="AW109" s="707"/>
      <c r="AX109" s="707"/>
      <c r="AY109" s="707"/>
      <c r="AZ109" s="707"/>
    </row>
    <row r="110" spans="1:52" ht="15">
      <c r="A110" s="707"/>
      <c r="B110" s="707"/>
      <c r="C110" s="707"/>
      <c r="D110" s="707"/>
      <c r="E110" s="707"/>
      <c r="F110" s="707"/>
      <c r="G110" s="707"/>
      <c r="H110" s="707"/>
      <c r="I110" s="707"/>
      <c r="J110" s="707"/>
      <c r="K110" s="707"/>
      <c r="L110" s="707"/>
      <c r="M110" s="707"/>
      <c r="N110" s="707"/>
      <c r="O110" s="707"/>
      <c r="P110" s="707"/>
      <c r="Q110" s="707"/>
      <c r="R110" s="707"/>
      <c r="S110" s="707"/>
      <c r="T110" s="707"/>
      <c r="U110" s="707"/>
      <c r="V110" s="707"/>
      <c r="W110" s="707"/>
      <c r="X110" s="707"/>
      <c r="Y110" s="707"/>
      <c r="Z110" s="707"/>
      <c r="AA110" s="707"/>
      <c r="AB110" s="707"/>
      <c r="AC110" s="707"/>
      <c r="AD110" s="707"/>
      <c r="AE110" s="707"/>
      <c r="AF110" s="707"/>
      <c r="AG110" s="707"/>
      <c r="AH110" s="707"/>
      <c r="AI110" s="707"/>
      <c r="AJ110" s="707"/>
      <c r="AK110" s="707"/>
      <c r="AL110" s="707"/>
      <c r="AM110" s="707"/>
      <c r="AN110" s="707"/>
      <c r="AO110" s="707"/>
      <c r="AP110" s="707"/>
      <c r="AQ110" s="707"/>
      <c r="AR110" s="707"/>
      <c r="AS110" s="707"/>
      <c r="AT110" s="707"/>
      <c r="AU110" s="707"/>
      <c r="AV110" s="707"/>
      <c r="AW110" s="707"/>
      <c r="AX110" s="707"/>
      <c r="AY110" s="707"/>
      <c r="AZ110" s="707"/>
    </row>
    <row r="111" spans="1:52" ht="15">
      <c r="A111" s="707"/>
      <c r="B111" s="707"/>
      <c r="C111" s="707"/>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7"/>
      <c r="AZ111" s="707"/>
    </row>
    <row r="112" spans="1:52" ht="15">
      <c r="A112" s="707"/>
      <c r="B112" s="707"/>
      <c r="C112" s="707"/>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707"/>
      <c r="AL112" s="707"/>
      <c r="AM112" s="707"/>
      <c r="AN112" s="707"/>
      <c r="AO112" s="707"/>
      <c r="AP112" s="707"/>
      <c r="AQ112" s="707"/>
      <c r="AR112" s="707"/>
      <c r="AS112" s="707"/>
      <c r="AT112" s="707"/>
      <c r="AU112" s="707"/>
      <c r="AV112" s="707"/>
      <c r="AW112" s="707"/>
      <c r="AX112" s="707"/>
      <c r="AY112" s="707"/>
      <c r="AZ112" s="707"/>
    </row>
    <row r="113" spans="1:52" ht="15">
      <c r="A113" s="707"/>
      <c r="B113" s="707"/>
      <c r="C113" s="707"/>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7"/>
      <c r="AY113" s="707"/>
      <c r="AZ113" s="707"/>
    </row>
    <row r="114" spans="1:52" ht="15">
      <c r="A114" s="707"/>
      <c r="B114" s="707"/>
      <c r="C114" s="707"/>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707"/>
      <c r="AL114" s="707"/>
      <c r="AM114" s="707"/>
      <c r="AN114" s="707"/>
      <c r="AO114" s="707"/>
      <c r="AP114" s="707"/>
      <c r="AQ114" s="707"/>
      <c r="AR114" s="707"/>
      <c r="AS114" s="707"/>
      <c r="AT114" s="707"/>
      <c r="AU114" s="707"/>
      <c r="AV114" s="707"/>
      <c r="AW114" s="707"/>
      <c r="AX114" s="707"/>
      <c r="AY114" s="707"/>
      <c r="AZ114" s="707"/>
    </row>
    <row r="115" spans="1:52" ht="15">
      <c r="A115" s="707"/>
      <c r="B115" s="707"/>
      <c r="C115" s="707"/>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707"/>
      <c r="AL115" s="707"/>
      <c r="AM115" s="707"/>
      <c r="AN115" s="707"/>
      <c r="AO115" s="707"/>
      <c r="AP115" s="707"/>
      <c r="AQ115" s="707"/>
      <c r="AR115" s="707"/>
      <c r="AS115" s="707"/>
      <c r="AT115" s="707"/>
      <c r="AU115" s="707"/>
      <c r="AV115" s="707"/>
      <c r="AW115" s="707"/>
      <c r="AX115" s="707"/>
      <c r="AY115" s="707"/>
      <c r="AZ115" s="707"/>
    </row>
    <row r="116" spans="1:52" ht="15">
      <c r="A116" s="707"/>
      <c r="B116" s="707"/>
      <c r="C116" s="707"/>
      <c r="D116" s="707"/>
      <c r="E116" s="707"/>
      <c r="F116" s="707"/>
      <c r="G116" s="707"/>
      <c r="H116" s="707"/>
      <c r="I116" s="707"/>
      <c r="J116" s="707"/>
      <c r="K116" s="707"/>
      <c r="L116" s="707"/>
      <c r="M116" s="707"/>
      <c r="N116" s="707"/>
      <c r="O116" s="707"/>
      <c r="P116" s="707"/>
      <c r="Q116" s="707"/>
      <c r="R116" s="707"/>
      <c r="S116" s="707"/>
      <c r="T116" s="707"/>
      <c r="U116" s="707"/>
      <c r="V116" s="707"/>
      <c r="W116" s="707"/>
      <c r="X116" s="707"/>
      <c r="Y116" s="707"/>
      <c r="Z116" s="707"/>
      <c r="AA116" s="707"/>
      <c r="AB116" s="707"/>
      <c r="AC116" s="707"/>
      <c r="AD116" s="707"/>
      <c r="AE116" s="707"/>
      <c r="AF116" s="707"/>
      <c r="AG116" s="707"/>
      <c r="AH116" s="707"/>
      <c r="AI116" s="707"/>
      <c r="AJ116" s="707"/>
      <c r="AK116" s="707"/>
      <c r="AL116" s="707"/>
      <c r="AM116" s="707"/>
      <c r="AN116" s="707"/>
      <c r="AO116" s="707"/>
      <c r="AP116" s="707"/>
      <c r="AQ116" s="707"/>
      <c r="AR116" s="707"/>
      <c r="AS116" s="707"/>
      <c r="AT116" s="707"/>
      <c r="AU116" s="707"/>
      <c r="AV116" s="707"/>
      <c r="AW116" s="707"/>
      <c r="AX116" s="707"/>
      <c r="AY116" s="707"/>
      <c r="AZ116" s="707"/>
    </row>
    <row r="117" spans="1:52" ht="15">
      <c r="A117" s="707"/>
      <c r="B117" s="707"/>
      <c r="C117" s="707"/>
      <c r="D117" s="707"/>
      <c r="E117" s="707"/>
      <c r="F117" s="707"/>
      <c r="G117" s="707"/>
      <c r="H117" s="707"/>
      <c r="I117" s="707"/>
      <c r="J117" s="707"/>
      <c r="K117" s="707"/>
      <c r="L117" s="707"/>
      <c r="M117" s="707"/>
      <c r="N117" s="707"/>
      <c r="O117" s="707"/>
      <c r="P117" s="707"/>
      <c r="Q117" s="707"/>
      <c r="R117" s="707"/>
      <c r="S117" s="707"/>
      <c r="T117" s="707"/>
      <c r="U117" s="707"/>
      <c r="V117" s="707"/>
      <c r="W117" s="707"/>
      <c r="X117" s="707"/>
      <c r="Y117" s="707"/>
      <c r="Z117" s="707"/>
      <c r="AA117" s="707"/>
      <c r="AB117" s="707"/>
      <c r="AC117" s="707"/>
      <c r="AD117" s="707"/>
      <c r="AE117" s="707"/>
      <c r="AF117" s="707"/>
      <c r="AG117" s="707"/>
      <c r="AH117" s="707"/>
      <c r="AI117" s="707"/>
      <c r="AJ117" s="707"/>
      <c r="AK117" s="707"/>
      <c r="AL117" s="707"/>
      <c r="AM117" s="707"/>
      <c r="AN117" s="707"/>
      <c r="AO117" s="707"/>
      <c r="AP117" s="707"/>
      <c r="AQ117" s="707"/>
      <c r="AR117" s="707"/>
      <c r="AS117" s="707"/>
      <c r="AT117" s="707"/>
      <c r="AU117" s="707"/>
      <c r="AV117" s="707"/>
      <c r="AW117" s="707"/>
      <c r="AX117" s="707"/>
      <c r="AY117" s="707"/>
      <c r="AZ117" s="707"/>
    </row>
    <row r="118" spans="1:52" ht="15">
      <c r="A118" s="707"/>
      <c r="B118" s="707"/>
      <c r="C118" s="707"/>
      <c r="D118" s="707"/>
      <c r="E118" s="707"/>
      <c r="F118" s="707"/>
      <c r="G118" s="707"/>
      <c r="H118" s="707"/>
      <c r="I118" s="707"/>
      <c r="J118" s="707"/>
      <c r="K118" s="707"/>
      <c r="L118" s="707"/>
      <c r="M118" s="707"/>
      <c r="N118" s="707"/>
      <c r="O118" s="707"/>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707"/>
      <c r="AL118" s="707"/>
      <c r="AM118" s="707"/>
      <c r="AN118" s="707"/>
      <c r="AO118" s="707"/>
      <c r="AP118" s="707"/>
      <c r="AQ118" s="707"/>
      <c r="AR118" s="707"/>
      <c r="AS118" s="707"/>
      <c r="AT118" s="707"/>
      <c r="AU118" s="707"/>
      <c r="AV118" s="707"/>
      <c r="AW118" s="707"/>
      <c r="AX118" s="707"/>
      <c r="AY118" s="707"/>
      <c r="AZ118" s="707"/>
    </row>
    <row r="119" spans="1:52" ht="15">
      <c r="A119" s="707"/>
      <c r="B119" s="707"/>
      <c r="C119" s="707"/>
      <c r="D119" s="707"/>
      <c r="E119" s="707"/>
      <c r="F119" s="707"/>
      <c r="G119" s="707"/>
      <c r="H119" s="707"/>
      <c r="I119" s="707"/>
      <c r="J119" s="707"/>
      <c r="K119" s="707"/>
      <c r="L119" s="707"/>
      <c r="M119" s="707"/>
      <c r="N119" s="707"/>
      <c r="O119" s="707"/>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row>
    <row r="120" spans="1:52" ht="15">
      <c r="A120" s="707"/>
      <c r="B120" s="707"/>
      <c r="C120" s="707"/>
      <c r="D120" s="707"/>
      <c r="E120" s="707"/>
      <c r="F120" s="707"/>
      <c r="G120" s="707"/>
      <c r="H120" s="707"/>
      <c r="I120" s="707"/>
      <c r="J120" s="707"/>
      <c r="K120" s="707"/>
      <c r="L120" s="707"/>
      <c r="M120" s="707"/>
      <c r="N120" s="707"/>
      <c r="O120" s="707"/>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707"/>
      <c r="AL120" s="707"/>
      <c r="AM120" s="707"/>
      <c r="AN120" s="707"/>
      <c r="AO120" s="707"/>
      <c r="AP120" s="707"/>
      <c r="AQ120" s="707"/>
      <c r="AR120" s="707"/>
      <c r="AS120" s="707"/>
      <c r="AT120" s="707"/>
      <c r="AU120" s="707"/>
      <c r="AV120" s="707"/>
      <c r="AW120" s="707"/>
      <c r="AX120" s="707"/>
      <c r="AY120" s="707"/>
      <c r="AZ120" s="707"/>
    </row>
    <row r="121" spans="1:52" ht="15">
      <c r="A121" s="707"/>
      <c r="B121" s="707"/>
      <c r="C121" s="707"/>
      <c r="D121" s="707"/>
      <c r="E121" s="707"/>
      <c r="F121" s="707"/>
      <c r="G121" s="707"/>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7"/>
      <c r="AY121" s="707"/>
      <c r="AZ121" s="707"/>
    </row>
    <row r="122" spans="1:52" ht="15">
      <c r="A122" s="707"/>
      <c r="B122" s="707"/>
      <c r="C122" s="707"/>
      <c r="D122" s="707"/>
      <c r="E122" s="707"/>
      <c r="F122" s="707"/>
      <c r="G122" s="707"/>
      <c r="H122" s="707"/>
      <c r="I122" s="707"/>
      <c r="J122" s="707"/>
      <c r="K122" s="707"/>
      <c r="L122" s="707"/>
      <c r="M122" s="707"/>
      <c r="N122" s="707"/>
      <c r="O122" s="707"/>
      <c r="P122" s="707"/>
      <c r="Q122" s="707"/>
      <c r="R122" s="707"/>
      <c r="S122" s="707"/>
      <c r="T122" s="707"/>
      <c r="U122" s="707"/>
      <c r="V122" s="707"/>
      <c r="W122" s="707"/>
      <c r="X122" s="707"/>
      <c r="Y122" s="707"/>
      <c r="Z122" s="707"/>
      <c r="AA122" s="707"/>
      <c r="AB122" s="707"/>
      <c r="AC122" s="707"/>
      <c r="AD122" s="707"/>
      <c r="AE122" s="707"/>
      <c r="AF122" s="707"/>
      <c r="AG122" s="707"/>
      <c r="AH122" s="707"/>
      <c r="AI122" s="707"/>
      <c r="AJ122" s="707"/>
      <c r="AK122" s="707"/>
      <c r="AL122" s="707"/>
      <c r="AM122" s="707"/>
      <c r="AN122" s="707"/>
      <c r="AO122" s="707"/>
      <c r="AP122" s="707"/>
      <c r="AQ122" s="707"/>
      <c r="AR122" s="707"/>
      <c r="AS122" s="707"/>
      <c r="AT122" s="707"/>
      <c r="AU122" s="707"/>
      <c r="AV122" s="707"/>
      <c r="AW122" s="707"/>
      <c r="AX122" s="707"/>
      <c r="AY122" s="707"/>
      <c r="AZ122" s="707"/>
    </row>
    <row r="123" spans="1:52" ht="15">
      <c r="A123" s="707"/>
      <c r="B123" s="707"/>
      <c r="C123" s="707"/>
      <c r="D123" s="707"/>
      <c r="E123" s="707"/>
      <c r="F123" s="707"/>
      <c r="G123" s="707"/>
      <c r="H123" s="707"/>
      <c r="I123" s="707"/>
      <c r="J123" s="707"/>
      <c r="K123" s="707"/>
      <c r="L123" s="707"/>
      <c r="M123" s="707"/>
      <c r="N123" s="707"/>
      <c r="O123" s="707"/>
      <c r="P123" s="707"/>
      <c r="Q123" s="707"/>
      <c r="R123" s="707"/>
      <c r="S123" s="707"/>
      <c r="T123" s="707"/>
      <c r="U123" s="707"/>
      <c r="V123" s="707"/>
      <c r="W123" s="707"/>
      <c r="X123" s="707"/>
      <c r="Y123" s="707"/>
      <c r="Z123" s="707"/>
      <c r="AA123" s="707"/>
      <c r="AB123" s="707"/>
      <c r="AC123" s="707"/>
      <c r="AD123" s="707"/>
      <c r="AE123" s="707"/>
      <c r="AF123" s="707"/>
      <c r="AG123" s="707"/>
      <c r="AH123" s="707"/>
      <c r="AI123" s="707"/>
      <c r="AJ123" s="707"/>
      <c r="AK123" s="707"/>
      <c r="AL123" s="707"/>
      <c r="AM123" s="707"/>
      <c r="AN123" s="707"/>
      <c r="AO123" s="707"/>
      <c r="AP123" s="707"/>
      <c r="AQ123" s="707"/>
      <c r="AR123" s="707"/>
      <c r="AS123" s="707"/>
      <c r="AT123" s="707"/>
      <c r="AU123" s="707"/>
      <c r="AV123" s="707"/>
      <c r="AW123" s="707"/>
      <c r="AX123" s="707"/>
      <c r="AY123" s="707"/>
      <c r="AZ123" s="707"/>
    </row>
    <row r="124" spans="1:52" ht="15">
      <c r="A124" s="707"/>
      <c r="B124" s="707"/>
      <c r="C124" s="707"/>
      <c r="D124" s="707"/>
      <c r="E124" s="707"/>
      <c r="F124" s="707"/>
      <c r="G124" s="707"/>
      <c r="H124" s="707"/>
      <c r="I124" s="707"/>
      <c r="J124" s="707"/>
      <c r="K124" s="707"/>
      <c r="L124" s="707"/>
      <c r="M124" s="707"/>
      <c r="N124" s="707"/>
      <c r="O124" s="707"/>
      <c r="P124" s="707"/>
      <c r="Q124" s="707"/>
      <c r="R124" s="707"/>
      <c r="S124" s="707"/>
      <c r="T124" s="707"/>
      <c r="U124" s="707"/>
      <c r="V124" s="707"/>
      <c r="W124" s="707"/>
      <c r="X124" s="707"/>
      <c r="Y124" s="707"/>
      <c r="Z124" s="707"/>
      <c r="AA124" s="707"/>
      <c r="AB124" s="707"/>
      <c r="AC124" s="707"/>
      <c r="AD124" s="707"/>
      <c r="AE124" s="707"/>
      <c r="AF124" s="707"/>
      <c r="AG124" s="707"/>
      <c r="AH124" s="707"/>
      <c r="AI124" s="707"/>
      <c r="AJ124" s="707"/>
      <c r="AK124" s="707"/>
      <c r="AL124" s="707"/>
      <c r="AM124" s="707"/>
      <c r="AN124" s="707"/>
      <c r="AO124" s="707"/>
      <c r="AP124" s="707"/>
      <c r="AQ124" s="707"/>
      <c r="AR124" s="707"/>
      <c r="AS124" s="707"/>
      <c r="AT124" s="707"/>
      <c r="AU124" s="707"/>
      <c r="AV124" s="707"/>
      <c r="AW124" s="707"/>
      <c r="AX124" s="707"/>
      <c r="AY124" s="707"/>
      <c r="AZ124" s="707"/>
    </row>
    <row r="125" spans="1:52" ht="15">
      <c r="A125" s="707"/>
      <c r="B125" s="707"/>
      <c r="C125" s="707"/>
      <c r="D125" s="707"/>
      <c r="E125" s="707"/>
      <c r="F125" s="707"/>
      <c r="G125" s="707"/>
      <c r="H125" s="707"/>
      <c r="I125" s="707"/>
      <c r="J125" s="707"/>
      <c r="K125" s="707"/>
      <c r="L125" s="707"/>
      <c r="M125" s="707"/>
      <c r="N125" s="707"/>
      <c r="O125" s="707"/>
      <c r="P125" s="707"/>
      <c r="Q125" s="707"/>
      <c r="R125" s="707"/>
      <c r="S125" s="707"/>
      <c r="T125" s="707"/>
      <c r="U125" s="707"/>
      <c r="V125" s="707"/>
      <c r="W125" s="707"/>
      <c r="X125" s="707"/>
      <c r="Y125" s="707"/>
      <c r="Z125" s="707"/>
      <c r="AA125" s="707"/>
      <c r="AB125" s="707"/>
      <c r="AC125" s="707"/>
      <c r="AD125" s="707"/>
      <c r="AE125" s="707"/>
      <c r="AF125" s="707"/>
      <c r="AG125" s="707"/>
      <c r="AH125" s="707"/>
      <c r="AI125" s="707"/>
      <c r="AJ125" s="707"/>
      <c r="AK125" s="707"/>
      <c r="AL125" s="707"/>
      <c r="AM125" s="707"/>
      <c r="AN125" s="707"/>
      <c r="AO125" s="707"/>
      <c r="AP125" s="707"/>
      <c r="AQ125" s="707"/>
      <c r="AR125" s="707"/>
      <c r="AS125" s="707"/>
      <c r="AT125" s="707"/>
      <c r="AU125" s="707"/>
      <c r="AV125" s="707"/>
      <c r="AW125" s="707"/>
      <c r="AX125" s="707"/>
      <c r="AY125" s="707"/>
      <c r="AZ125" s="707"/>
    </row>
    <row r="126" spans="1:52" ht="15">
      <c r="A126" s="707"/>
      <c r="B126" s="707"/>
      <c r="C126" s="707"/>
      <c r="D126" s="707"/>
      <c r="E126" s="707"/>
      <c r="F126" s="707"/>
      <c r="G126" s="707"/>
      <c r="H126" s="707"/>
      <c r="I126" s="707"/>
      <c r="J126" s="707"/>
      <c r="K126" s="707"/>
      <c r="L126" s="707"/>
      <c r="M126" s="707"/>
      <c r="N126" s="707"/>
      <c r="O126" s="707"/>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row>
    <row r="127" spans="1:52" ht="15">
      <c r="A127" s="707"/>
      <c r="B127" s="707"/>
      <c r="C127" s="707"/>
      <c r="D127" s="707"/>
      <c r="E127" s="707"/>
      <c r="F127" s="707"/>
      <c r="G127" s="707"/>
      <c r="H127" s="707"/>
      <c r="I127" s="707"/>
      <c r="J127" s="707"/>
      <c r="K127" s="707"/>
      <c r="L127" s="707"/>
      <c r="M127" s="707"/>
      <c r="N127" s="707"/>
      <c r="O127" s="707"/>
      <c r="P127" s="707"/>
      <c r="Q127" s="707"/>
      <c r="R127" s="707"/>
      <c r="S127" s="707"/>
      <c r="T127" s="707"/>
      <c r="U127" s="707"/>
      <c r="V127" s="707"/>
      <c r="W127" s="707"/>
      <c r="X127" s="707"/>
      <c r="Y127" s="707"/>
      <c r="Z127" s="707"/>
      <c r="AA127" s="707"/>
      <c r="AB127" s="707"/>
      <c r="AC127" s="707"/>
      <c r="AD127" s="707"/>
      <c r="AE127" s="707"/>
      <c r="AF127" s="707"/>
      <c r="AG127" s="707"/>
      <c r="AH127" s="707"/>
      <c r="AI127" s="707"/>
      <c r="AJ127" s="707"/>
      <c r="AK127" s="707"/>
      <c r="AL127" s="707"/>
      <c r="AM127" s="707"/>
      <c r="AN127" s="707"/>
      <c r="AO127" s="707"/>
      <c r="AP127" s="707"/>
      <c r="AQ127" s="707"/>
      <c r="AR127" s="707"/>
      <c r="AS127" s="707"/>
      <c r="AT127" s="707"/>
      <c r="AU127" s="707"/>
      <c r="AV127" s="707"/>
      <c r="AW127" s="707"/>
      <c r="AX127" s="707"/>
      <c r="AY127" s="707"/>
      <c r="AZ127" s="707"/>
    </row>
    <row r="128" spans="1:52" ht="15">
      <c r="A128" s="707"/>
      <c r="B128" s="707"/>
      <c r="C128" s="707"/>
      <c r="D128" s="707"/>
      <c r="E128" s="707"/>
      <c r="F128" s="707"/>
      <c r="G128" s="707"/>
      <c r="H128" s="707"/>
      <c r="I128" s="707"/>
      <c r="J128" s="707"/>
      <c r="K128" s="707"/>
      <c r="L128" s="707"/>
      <c r="M128" s="707"/>
      <c r="N128" s="707"/>
      <c r="O128" s="707"/>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707"/>
      <c r="AX128" s="707"/>
      <c r="AY128" s="707"/>
      <c r="AZ128" s="707"/>
    </row>
    <row r="129" spans="1:52" ht="15">
      <c r="A129" s="707"/>
      <c r="B129" s="707"/>
      <c r="C129" s="707"/>
      <c r="D129" s="707"/>
      <c r="E129" s="707"/>
      <c r="F129" s="707"/>
      <c r="G129" s="707"/>
      <c r="H129" s="707"/>
      <c r="I129" s="707"/>
      <c r="J129" s="707"/>
      <c r="K129" s="707"/>
      <c r="L129" s="707"/>
      <c r="M129" s="707"/>
      <c r="N129" s="707"/>
      <c r="O129" s="707"/>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707"/>
      <c r="AL129" s="707"/>
      <c r="AM129" s="707"/>
      <c r="AN129" s="707"/>
      <c r="AO129" s="707"/>
      <c r="AP129" s="707"/>
      <c r="AQ129" s="707"/>
      <c r="AR129" s="707"/>
      <c r="AS129" s="707"/>
      <c r="AT129" s="707"/>
      <c r="AU129" s="707"/>
      <c r="AV129" s="707"/>
      <c r="AW129" s="707"/>
      <c r="AX129" s="707"/>
      <c r="AY129" s="707"/>
      <c r="AZ129" s="707"/>
    </row>
    <row r="130" spans="1:52" ht="15">
      <c r="A130" s="707"/>
      <c r="B130" s="707"/>
      <c r="C130" s="707"/>
      <c r="D130" s="707"/>
      <c r="E130" s="707"/>
      <c r="F130" s="707"/>
      <c r="G130" s="707"/>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7"/>
      <c r="AY130" s="707"/>
      <c r="AZ130" s="707"/>
    </row>
    <row r="131" spans="1:52" ht="15">
      <c r="A131" s="707"/>
      <c r="B131" s="707"/>
      <c r="C131" s="707"/>
      <c r="D131" s="707"/>
      <c r="E131" s="707"/>
      <c r="F131" s="707"/>
      <c r="G131" s="707"/>
      <c r="H131" s="707"/>
      <c r="I131" s="707"/>
      <c r="J131" s="707"/>
      <c r="K131" s="707"/>
      <c r="L131" s="707"/>
      <c r="M131" s="707"/>
      <c r="N131" s="707"/>
      <c r="O131" s="707"/>
      <c r="P131" s="707"/>
      <c r="Q131" s="707"/>
      <c r="R131" s="707"/>
      <c r="S131" s="707"/>
      <c r="T131" s="707"/>
      <c r="U131" s="707"/>
      <c r="V131" s="707"/>
      <c r="W131" s="707"/>
      <c r="X131" s="707"/>
      <c r="Y131" s="707"/>
      <c r="Z131" s="707"/>
      <c r="AA131" s="707"/>
      <c r="AB131" s="707"/>
      <c r="AC131" s="707"/>
      <c r="AD131" s="707"/>
      <c r="AE131" s="707"/>
      <c r="AF131" s="707"/>
      <c r="AG131" s="707"/>
      <c r="AH131" s="707"/>
      <c r="AI131" s="707"/>
      <c r="AJ131" s="707"/>
      <c r="AK131" s="707"/>
      <c r="AL131" s="707"/>
      <c r="AM131" s="707"/>
      <c r="AN131" s="707"/>
      <c r="AO131" s="707"/>
      <c r="AP131" s="707"/>
      <c r="AQ131" s="707"/>
      <c r="AR131" s="707"/>
      <c r="AS131" s="707"/>
      <c r="AT131" s="707"/>
      <c r="AU131" s="707"/>
      <c r="AV131" s="707"/>
      <c r="AW131" s="707"/>
      <c r="AX131" s="707"/>
      <c r="AY131" s="707"/>
      <c r="AZ131" s="707"/>
    </row>
    <row r="132" spans="1:52" ht="15">
      <c r="A132" s="707"/>
      <c r="B132" s="707"/>
      <c r="C132" s="707"/>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7"/>
      <c r="AY132" s="707"/>
      <c r="AZ132" s="707"/>
    </row>
    <row r="133" spans="1:52" ht="15">
      <c r="A133" s="707"/>
      <c r="B133" s="707"/>
      <c r="C133" s="707"/>
      <c r="D133" s="707"/>
      <c r="E133" s="707"/>
      <c r="F133" s="707"/>
      <c r="G133" s="707"/>
      <c r="H133" s="707"/>
      <c r="I133" s="707"/>
      <c r="J133" s="707"/>
      <c r="K133" s="707"/>
      <c r="L133" s="707"/>
      <c r="M133" s="707"/>
      <c r="N133" s="707"/>
      <c r="O133" s="707"/>
      <c r="P133" s="707"/>
      <c r="Q133" s="707"/>
      <c r="R133" s="707"/>
      <c r="S133" s="707"/>
      <c r="T133" s="707"/>
      <c r="U133" s="707"/>
      <c r="V133" s="707"/>
      <c r="W133" s="707"/>
      <c r="X133" s="707"/>
      <c r="Y133" s="707"/>
      <c r="Z133" s="707"/>
      <c r="AA133" s="707"/>
      <c r="AB133" s="707"/>
      <c r="AC133" s="707"/>
      <c r="AD133" s="707"/>
      <c r="AE133" s="707"/>
      <c r="AF133" s="707"/>
      <c r="AG133" s="707"/>
      <c r="AH133" s="707"/>
      <c r="AI133" s="707"/>
      <c r="AJ133" s="707"/>
      <c r="AK133" s="707"/>
      <c r="AL133" s="707"/>
      <c r="AM133" s="707"/>
      <c r="AN133" s="707"/>
      <c r="AO133" s="707"/>
      <c r="AP133" s="707"/>
      <c r="AQ133" s="707"/>
      <c r="AR133" s="707"/>
      <c r="AS133" s="707"/>
      <c r="AT133" s="707"/>
      <c r="AU133" s="707"/>
      <c r="AV133" s="707"/>
      <c r="AW133" s="707"/>
      <c r="AX133" s="707"/>
      <c r="AY133" s="707"/>
      <c r="AZ133" s="707"/>
    </row>
    <row r="134" spans="1:52" ht="15">
      <c r="A134" s="707"/>
      <c r="B134" s="70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c r="AB134" s="707"/>
      <c r="AC134" s="707"/>
      <c r="AD134" s="707"/>
      <c r="AE134" s="707"/>
      <c r="AF134" s="707"/>
      <c r="AG134" s="707"/>
      <c r="AH134" s="707"/>
      <c r="AI134" s="707"/>
      <c r="AJ134" s="707"/>
      <c r="AK134" s="707"/>
      <c r="AL134" s="707"/>
      <c r="AM134" s="707"/>
      <c r="AN134" s="707"/>
      <c r="AO134" s="707"/>
      <c r="AP134" s="707"/>
      <c r="AQ134" s="707"/>
      <c r="AR134" s="707"/>
      <c r="AS134" s="707"/>
      <c r="AT134" s="707"/>
      <c r="AU134" s="707"/>
      <c r="AV134" s="707"/>
      <c r="AW134" s="707"/>
      <c r="AX134" s="707"/>
      <c r="AY134" s="707"/>
      <c r="AZ134" s="707"/>
    </row>
    <row r="135" spans="1:52" ht="15">
      <c r="A135" s="707"/>
      <c r="B135" s="707"/>
      <c r="C135" s="707"/>
      <c r="D135" s="707"/>
      <c r="E135" s="707"/>
      <c r="F135" s="707"/>
      <c r="G135" s="707"/>
      <c r="H135" s="707"/>
      <c r="I135" s="707"/>
      <c r="J135" s="707"/>
      <c r="K135" s="707"/>
      <c r="L135" s="707"/>
      <c r="M135" s="707"/>
      <c r="N135" s="707"/>
      <c r="O135" s="707"/>
      <c r="P135" s="707"/>
      <c r="Q135" s="707"/>
      <c r="R135" s="707"/>
      <c r="S135" s="707"/>
      <c r="T135" s="707"/>
      <c r="U135" s="707"/>
      <c r="V135" s="707"/>
      <c r="W135" s="707"/>
      <c r="X135" s="707"/>
      <c r="Y135" s="707"/>
      <c r="Z135" s="707"/>
      <c r="AA135" s="707"/>
      <c r="AB135" s="707"/>
      <c r="AC135" s="707"/>
      <c r="AD135" s="707"/>
      <c r="AE135" s="707"/>
      <c r="AF135" s="707"/>
      <c r="AG135" s="707"/>
      <c r="AH135" s="707"/>
      <c r="AI135" s="707"/>
      <c r="AJ135" s="707"/>
      <c r="AK135" s="707"/>
      <c r="AL135" s="707"/>
      <c r="AM135" s="707"/>
      <c r="AN135" s="707"/>
      <c r="AO135" s="707"/>
      <c r="AP135" s="707"/>
      <c r="AQ135" s="707"/>
      <c r="AR135" s="707"/>
      <c r="AS135" s="707"/>
      <c r="AT135" s="707"/>
      <c r="AU135" s="707"/>
      <c r="AV135" s="707"/>
      <c r="AW135" s="707"/>
      <c r="AX135" s="707"/>
      <c r="AY135" s="707"/>
      <c r="AZ135" s="707"/>
    </row>
    <row r="136" spans="1:52" ht="15">
      <c r="A136" s="707"/>
      <c r="B136" s="707"/>
      <c r="C136" s="707"/>
      <c r="D136" s="707"/>
      <c r="E136" s="707"/>
      <c r="F136" s="707"/>
      <c r="G136" s="707"/>
      <c r="H136" s="707"/>
      <c r="I136" s="707"/>
      <c r="J136" s="707"/>
      <c r="K136" s="707"/>
      <c r="L136" s="707"/>
      <c r="M136" s="707"/>
      <c r="N136" s="707"/>
      <c r="O136" s="707"/>
      <c r="P136" s="707"/>
      <c r="Q136" s="707"/>
      <c r="R136" s="707"/>
      <c r="S136" s="707"/>
      <c r="T136" s="707"/>
      <c r="U136" s="707"/>
      <c r="V136" s="707"/>
      <c r="W136" s="707"/>
      <c r="X136" s="707"/>
      <c r="Y136" s="707"/>
      <c r="Z136" s="707"/>
      <c r="AA136" s="707"/>
      <c r="AB136" s="707"/>
      <c r="AC136" s="707"/>
      <c r="AD136" s="707"/>
      <c r="AE136" s="707"/>
      <c r="AF136" s="707"/>
      <c r="AG136" s="707"/>
      <c r="AH136" s="707"/>
      <c r="AI136" s="707"/>
      <c r="AJ136" s="707"/>
      <c r="AK136" s="707"/>
      <c r="AL136" s="707"/>
      <c r="AM136" s="707"/>
      <c r="AN136" s="707"/>
      <c r="AO136" s="707"/>
      <c r="AP136" s="707"/>
      <c r="AQ136" s="707"/>
      <c r="AR136" s="707"/>
      <c r="AS136" s="707"/>
      <c r="AT136" s="707"/>
      <c r="AU136" s="707"/>
      <c r="AV136" s="707"/>
      <c r="AW136" s="707"/>
      <c r="AX136" s="707"/>
      <c r="AY136" s="707"/>
      <c r="AZ136" s="707"/>
    </row>
    <row r="137" spans="1:52" ht="15">
      <c r="A137" s="707"/>
      <c r="B137" s="707"/>
      <c r="C137" s="707"/>
      <c r="D137" s="707"/>
      <c r="E137" s="707"/>
      <c r="F137" s="707"/>
      <c r="G137" s="707"/>
      <c r="H137" s="707"/>
      <c r="I137" s="707"/>
      <c r="J137" s="707"/>
      <c r="K137" s="707"/>
      <c r="L137" s="707"/>
      <c r="M137" s="707"/>
      <c r="N137" s="707"/>
      <c r="O137" s="707"/>
      <c r="P137" s="707"/>
      <c r="Q137" s="707"/>
      <c r="R137" s="707"/>
      <c r="S137" s="707"/>
      <c r="T137" s="707"/>
      <c r="U137" s="707"/>
      <c r="V137" s="707"/>
      <c r="W137" s="707"/>
      <c r="X137" s="707"/>
      <c r="Y137" s="707"/>
      <c r="Z137" s="707"/>
      <c r="AA137" s="707"/>
      <c r="AB137" s="707"/>
      <c r="AC137" s="707"/>
      <c r="AD137" s="707"/>
      <c r="AE137" s="707"/>
      <c r="AF137" s="707"/>
      <c r="AG137" s="707"/>
      <c r="AH137" s="707"/>
      <c r="AI137" s="707"/>
      <c r="AJ137" s="707"/>
      <c r="AK137" s="707"/>
      <c r="AL137" s="707"/>
      <c r="AM137" s="707"/>
      <c r="AN137" s="707"/>
      <c r="AO137" s="707"/>
      <c r="AP137" s="707"/>
      <c r="AQ137" s="707"/>
      <c r="AR137" s="707"/>
      <c r="AS137" s="707"/>
      <c r="AT137" s="707"/>
      <c r="AU137" s="707"/>
      <c r="AV137" s="707"/>
      <c r="AW137" s="707"/>
      <c r="AX137" s="707"/>
      <c r="AY137" s="707"/>
      <c r="AZ137" s="707"/>
    </row>
    <row r="138" spans="1:52" ht="15">
      <c r="A138" s="707"/>
      <c r="B138" s="707"/>
      <c r="C138" s="707"/>
      <c r="D138" s="707"/>
      <c r="E138" s="707"/>
      <c r="F138" s="707"/>
      <c r="G138" s="707"/>
      <c r="H138" s="707"/>
      <c r="I138" s="707"/>
      <c r="J138" s="707"/>
      <c r="K138" s="707"/>
      <c r="L138" s="707"/>
      <c r="M138" s="707"/>
      <c r="N138" s="707"/>
      <c r="O138" s="707"/>
      <c r="P138" s="707"/>
      <c r="Q138" s="707"/>
      <c r="R138" s="707"/>
      <c r="S138" s="707"/>
      <c r="T138" s="707"/>
      <c r="U138" s="707"/>
      <c r="V138" s="707"/>
      <c r="W138" s="707"/>
      <c r="X138" s="707"/>
      <c r="Y138" s="707"/>
      <c r="Z138" s="707"/>
      <c r="AA138" s="707"/>
      <c r="AB138" s="707"/>
      <c r="AC138" s="707"/>
      <c r="AD138" s="707"/>
      <c r="AE138" s="707"/>
      <c r="AF138" s="707"/>
      <c r="AG138" s="707"/>
      <c r="AH138" s="707"/>
      <c r="AI138" s="707"/>
      <c r="AJ138" s="707"/>
      <c r="AK138" s="707"/>
      <c r="AL138" s="707"/>
      <c r="AM138" s="707"/>
      <c r="AN138" s="707"/>
      <c r="AO138" s="707"/>
      <c r="AP138" s="707"/>
      <c r="AQ138" s="707"/>
      <c r="AR138" s="707"/>
      <c r="AS138" s="707"/>
      <c r="AT138" s="707"/>
      <c r="AU138" s="707"/>
      <c r="AV138" s="707"/>
      <c r="AW138" s="707"/>
      <c r="AX138" s="707"/>
      <c r="AY138" s="707"/>
      <c r="AZ138" s="707"/>
    </row>
    <row r="139" spans="1:52" ht="15">
      <c r="A139" s="707"/>
      <c r="B139" s="707"/>
      <c r="C139" s="707"/>
      <c r="D139" s="707"/>
      <c r="E139" s="707"/>
      <c r="F139" s="707"/>
      <c r="G139" s="707"/>
      <c r="H139" s="707"/>
      <c r="I139" s="707"/>
      <c r="J139" s="707"/>
      <c r="K139" s="707"/>
      <c r="L139" s="707"/>
      <c r="M139" s="707"/>
      <c r="N139" s="707"/>
      <c r="O139" s="707"/>
      <c r="P139" s="707"/>
      <c r="Q139" s="707"/>
      <c r="R139" s="707"/>
      <c r="S139" s="707"/>
      <c r="T139" s="707"/>
      <c r="U139" s="707"/>
      <c r="V139" s="707"/>
      <c r="W139" s="707"/>
      <c r="X139" s="707"/>
      <c r="Y139" s="707"/>
      <c r="Z139" s="707"/>
      <c r="AA139" s="707"/>
      <c r="AB139" s="707"/>
      <c r="AC139" s="707"/>
      <c r="AD139" s="707"/>
      <c r="AE139" s="707"/>
      <c r="AF139" s="707"/>
      <c r="AG139" s="707"/>
      <c r="AH139" s="707"/>
      <c r="AI139" s="707"/>
      <c r="AJ139" s="707"/>
      <c r="AK139" s="707"/>
      <c r="AL139" s="707"/>
      <c r="AM139" s="707"/>
      <c r="AN139" s="707"/>
      <c r="AO139" s="707"/>
      <c r="AP139" s="707"/>
      <c r="AQ139" s="707"/>
      <c r="AR139" s="707"/>
      <c r="AS139" s="707"/>
      <c r="AT139" s="707"/>
      <c r="AU139" s="707"/>
      <c r="AV139" s="707"/>
      <c r="AW139" s="707"/>
      <c r="AX139" s="707"/>
      <c r="AY139" s="707"/>
      <c r="AZ139" s="707"/>
    </row>
    <row r="140" spans="1:52" ht="15">
      <c r="A140" s="707"/>
      <c r="B140" s="707"/>
      <c r="C140" s="707"/>
      <c r="D140" s="707"/>
      <c r="E140" s="707"/>
      <c r="F140" s="707"/>
      <c r="G140" s="707"/>
      <c r="H140" s="707"/>
      <c r="I140" s="707"/>
      <c r="J140" s="707"/>
      <c r="K140" s="707"/>
      <c r="L140" s="707"/>
      <c r="M140" s="707"/>
      <c r="N140" s="707"/>
      <c r="O140" s="707"/>
      <c r="P140" s="707"/>
      <c r="Q140" s="707"/>
      <c r="R140" s="707"/>
      <c r="S140" s="707"/>
      <c r="T140" s="707"/>
      <c r="U140" s="707"/>
      <c r="V140" s="707"/>
      <c r="W140" s="707"/>
      <c r="X140" s="707"/>
      <c r="Y140" s="707"/>
      <c r="Z140" s="707"/>
      <c r="AA140" s="707"/>
      <c r="AB140" s="707"/>
      <c r="AC140" s="707"/>
      <c r="AD140" s="707"/>
      <c r="AE140" s="707"/>
      <c r="AF140" s="707"/>
      <c r="AG140" s="707"/>
      <c r="AH140" s="707"/>
      <c r="AI140" s="707"/>
      <c r="AJ140" s="707"/>
      <c r="AK140" s="707"/>
      <c r="AL140" s="707"/>
      <c r="AM140" s="707"/>
      <c r="AN140" s="707"/>
      <c r="AO140" s="707"/>
      <c r="AP140" s="707"/>
      <c r="AQ140" s="707"/>
      <c r="AR140" s="707"/>
      <c r="AS140" s="707"/>
      <c r="AT140" s="707"/>
      <c r="AU140" s="707"/>
      <c r="AV140" s="707"/>
      <c r="AW140" s="707"/>
      <c r="AX140" s="707"/>
      <c r="AY140" s="707"/>
      <c r="AZ140" s="707"/>
    </row>
    <row r="141" spans="1:52" ht="15">
      <c r="A141" s="707"/>
      <c r="B141" s="707"/>
      <c r="C141" s="707"/>
      <c r="D141" s="707"/>
      <c r="E141" s="707"/>
      <c r="F141" s="707"/>
      <c r="G141" s="707"/>
      <c r="H141" s="707"/>
      <c r="I141" s="707"/>
      <c r="J141" s="707"/>
      <c r="K141" s="707"/>
      <c r="L141" s="707"/>
      <c r="M141" s="707"/>
      <c r="N141" s="707"/>
      <c r="O141" s="707"/>
      <c r="P141" s="707"/>
      <c r="Q141" s="707"/>
      <c r="R141" s="707"/>
      <c r="S141" s="707"/>
      <c r="T141" s="707"/>
      <c r="U141" s="707"/>
      <c r="V141" s="707"/>
      <c r="W141" s="707"/>
      <c r="X141" s="707"/>
      <c r="Y141" s="707"/>
      <c r="Z141" s="707"/>
      <c r="AA141" s="707"/>
      <c r="AB141" s="707"/>
      <c r="AC141" s="707"/>
      <c r="AD141" s="707"/>
      <c r="AE141" s="707"/>
      <c r="AF141" s="707"/>
      <c r="AG141" s="707"/>
      <c r="AH141" s="707"/>
      <c r="AI141" s="707"/>
      <c r="AJ141" s="707"/>
      <c r="AK141" s="707"/>
      <c r="AL141" s="707"/>
      <c r="AM141" s="707"/>
      <c r="AN141" s="707"/>
      <c r="AO141" s="707"/>
      <c r="AP141" s="707"/>
      <c r="AQ141" s="707"/>
      <c r="AR141" s="707"/>
      <c r="AS141" s="707"/>
      <c r="AT141" s="707"/>
      <c r="AU141" s="707"/>
      <c r="AV141" s="707"/>
      <c r="AW141" s="707"/>
      <c r="AX141" s="707"/>
      <c r="AY141" s="707"/>
      <c r="AZ141" s="707"/>
    </row>
    <row r="142" spans="1:52" ht="15">
      <c r="A142" s="707"/>
      <c r="B142" s="707"/>
      <c r="C142" s="707"/>
      <c r="D142" s="707"/>
      <c r="E142" s="707"/>
      <c r="F142" s="707"/>
      <c r="G142" s="707"/>
      <c r="H142" s="707"/>
      <c r="I142" s="707"/>
      <c r="J142" s="707"/>
      <c r="K142" s="707"/>
      <c r="L142" s="707"/>
      <c r="M142" s="707"/>
      <c r="N142" s="707"/>
      <c r="O142" s="707"/>
      <c r="P142" s="707"/>
      <c r="Q142" s="707"/>
      <c r="R142" s="707"/>
      <c r="S142" s="707"/>
      <c r="T142" s="707"/>
      <c r="U142" s="707"/>
      <c r="V142" s="707"/>
      <c r="W142" s="707"/>
      <c r="X142" s="707"/>
      <c r="Y142" s="707"/>
      <c r="Z142" s="707"/>
      <c r="AA142" s="707"/>
      <c r="AB142" s="707"/>
      <c r="AC142" s="707"/>
      <c r="AD142" s="707"/>
      <c r="AE142" s="707"/>
      <c r="AF142" s="707"/>
      <c r="AG142" s="707"/>
      <c r="AH142" s="707"/>
      <c r="AI142" s="707"/>
      <c r="AJ142" s="707"/>
      <c r="AK142" s="707"/>
      <c r="AL142" s="707"/>
      <c r="AM142" s="707"/>
      <c r="AN142" s="707"/>
      <c r="AO142" s="707"/>
      <c r="AP142" s="707"/>
      <c r="AQ142" s="707"/>
      <c r="AR142" s="707"/>
      <c r="AS142" s="707"/>
      <c r="AT142" s="707"/>
      <c r="AU142" s="707"/>
      <c r="AV142" s="707"/>
      <c r="AW142" s="707"/>
      <c r="AX142" s="707"/>
      <c r="AY142" s="707"/>
      <c r="AZ142" s="707"/>
    </row>
    <row r="143" spans="1:52" ht="15">
      <c r="A143" s="707"/>
      <c r="B143" s="707"/>
      <c r="C143" s="707"/>
      <c r="D143" s="707"/>
      <c r="E143" s="707"/>
      <c r="F143" s="707"/>
      <c r="G143" s="707"/>
      <c r="H143" s="707"/>
      <c r="I143" s="707"/>
      <c r="J143" s="707"/>
      <c r="K143" s="707"/>
      <c r="L143" s="707"/>
      <c r="M143" s="707"/>
      <c r="N143" s="707"/>
      <c r="O143" s="707"/>
      <c r="P143" s="707"/>
      <c r="Q143" s="707"/>
      <c r="R143" s="707"/>
      <c r="S143" s="707"/>
      <c r="T143" s="707"/>
      <c r="U143" s="707"/>
      <c r="V143" s="707"/>
      <c r="W143" s="707"/>
      <c r="X143" s="707"/>
      <c r="Y143" s="707"/>
      <c r="Z143" s="707"/>
      <c r="AA143" s="707"/>
      <c r="AB143" s="707"/>
      <c r="AC143" s="707"/>
      <c r="AD143" s="707"/>
      <c r="AE143" s="707"/>
      <c r="AF143" s="707"/>
      <c r="AG143" s="707"/>
      <c r="AH143" s="707"/>
      <c r="AI143" s="707"/>
      <c r="AJ143" s="707"/>
      <c r="AK143" s="707"/>
      <c r="AL143" s="707"/>
      <c r="AM143" s="707"/>
      <c r="AN143" s="707"/>
      <c r="AO143" s="707"/>
      <c r="AP143" s="707"/>
      <c r="AQ143" s="707"/>
      <c r="AR143" s="707"/>
      <c r="AS143" s="707"/>
      <c r="AT143" s="707"/>
      <c r="AU143" s="707"/>
      <c r="AV143" s="707"/>
      <c r="AW143" s="707"/>
      <c r="AX143" s="707"/>
      <c r="AY143" s="707"/>
      <c r="AZ143" s="707"/>
    </row>
    <row r="144" spans="1:52" ht="15">
      <c r="A144" s="707"/>
      <c r="B144" s="707"/>
      <c r="C144" s="707"/>
      <c r="D144" s="707"/>
      <c r="E144" s="707"/>
      <c r="F144" s="707"/>
      <c r="G144" s="707"/>
      <c r="H144" s="707"/>
      <c r="I144" s="707"/>
      <c r="J144" s="707"/>
      <c r="K144" s="707"/>
      <c r="L144" s="707"/>
      <c r="M144" s="707"/>
      <c r="N144" s="707"/>
      <c r="O144" s="707"/>
      <c r="P144" s="707"/>
      <c r="Q144" s="707"/>
      <c r="R144" s="707"/>
      <c r="S144" s="707"/>
      <c r="T144" s="707"/>
      <c r="U144" s="707"/>
      <c r="V144" s="707"/>
      <c r="W144" s="707"/>
      <c r="X144" s="707"/>
      <c r="Y144" s="707"/>
      <c r="Z144" s="707"/>
      <c r="AA144" s="707"/>
      <c r="AB144" s="707"/>
      <c r="AC144" s="707"/>
      <c r="AD144" s="707"/>
      <c r="AE144" s="707"/>
      <c r="AF144" s="707"/>
      <c r="AG144" s="707"/>
      <c r="AH144" s="707"/>
      <c r="AI144" s="707"/>
      <c r="AJ144" s="707"/>
      <c r="AK144" s="707"/>
      <c r="AL144" s="707"/>
      <c r="AM144" s="707"/>
      <c r="AN144" s="707"/>
      <c r="AO144" s="707"/>
      <c r="AP144" s="707"/>
      <c r="AQ144" s="707"/>
      <c r="AR144" s="707"/>
      <c r="AS144" s="707"/>
      <c r="AT144" s="707"/>
      <c r="AU144" s="707"/>
      <c r="AV144" s="707"/>
      <c r="AW144" s="707"/>
      <c r="AX144" s="707"/>
      <c r="AY144" s="707"/>
      <c r="AZ144" s="707"/>
    </row>
    <row r="145" spans="1:52" ht="15">
      <c r="A145" s="707"/>
      <c r="B145" s="707"/>
      <c r="C145" s="707"/>
      <c r="D145" s="707"/>
      <c r="E145" s="707"/>
      <c r="F145" s="707"/>
      <c r="G145" s="707"/>
      <c r="H145" s="707"/>
      <c r="I145" s="707"/>
      <c r="J145" s="707"/>
      <c r="K145" s="707"/>
      <c r="L145" s="707"/>
      <c r="M145" s="707"/>
      <c r="N145" s="707"/>
      <c r="O145" s="707"/>
      <c r="P145" s="707"/>
      <c r="Q145" s="707"/>
      <c r="R145" s="707"/>
      <c r="S145" s="707"/>
      <c r="T145" s="707"/>
      <c r="U145" s="707"/>
      <c r="V145" s="707"/>
      <c r="W145" s="707"/>
      <c r="X145" s="707"/>
      <c r="Y145" s="707"/>
      <c r="Z145" s="707"/>
      <c r="AA145" s="707"/>
      <c r="AB145" s="707"/>
      <c r="AC145" s="707"/>
      <c r="AD145" s="707"/>
      <c r="AE145" s="707"/>
      <c r="AF145" s="707"/>
      <c r="AG145" s="707"/>
      <c r="AH145" s="707"/>
      <c r="AI145" s="707"/>
      <c r="AJ145" s="707"/>
      <c r="AK145" s="707"/>
      <c r="AL145" s="707"/>
      <c r="AM145" s="707"/>
      <c r="AN145" s="707"/>
      <c r="AO145" s="707"/>
      <c r="AP145" s="707"/>
      <c r="AQ145" s="707"/>
      <c r="AR145" s="707"/>
      <c r="AS145" s="707"/>
      <c r="AT145" s="707"/>
      <c r="AU145" s="707"/>
      <c r="AV145" s="707"/>
      <c r="AW145" s="707"/>
      <c r="AX145" s="707"/>
      <c r="AY145" s="707"/>
      <c r="AZ145" s="707"/>
    </row>
    <row r="146" spans="1:52" ht="15">
      <c r="A146" s="707"/>
      <c r="B146" s="707"/>
      <c r="C146" s="707"/>
      <c r="D146" s="707"/>
      <c r="E146" s="707"/>
      <c r="F146" s="707"/>
      <c r="G146" s="707"/>
      <c r="H146" s="707"/>
      <c r="I146" s="707"/>
      <c r="J146" s="707"/>
      <c r="K146" s="707"/>
      <c r="L146" s="707"/>
      <c r="M146" s="707"/>
      <c r="N146" s="707"/>
      <c r="O146" s="707"/>
      <c r="P146" s="707"/>
      <c r="Q146" s="707"/>
      <c r="R146" s="707"/>
      <c r="S146" s="707"/>
      <c r="T146" s="707"/>
      <c r="U146" s="707"/>
      <c r="V146" s="707"/>
      <c r="W146" s="707"/>
      <c r="X146" s="707"/>
      <c r="Y146" s="707"/>
      <c r="Z146" s="707"/>
      <c r="AA146" s="707"/>
      <c r="AB146" s="707"/>
      <c r="AC146" s="707"/>
      <c r="AD146" s="707"/>
      <c r="AE146" s="707"/>
      <c r="AF146" s="707"/>
      <c r="AG146" s="707"/>
      <c r="AH146" s="707"/>
      <c r="AI146" s="707"/>
      <c r="AJ146" s="707"/>
      <c r="AK146" s="707"/>
      <c r="AL146" s="707"/>
      <c r="AM146" s="707"/>
      <c r="AN146" s="707"/>
      <c r="AO146" s="707"/>
      <c r="AP146" s="707"/>
      <c r="AQ146" s="707"/>
      <c r="AR146" s="707"/>
      <c r="AS146" s="707"/>
      <c r="AT146" s="707"/>
      <c r="AU146" s="707"/>
      <c r="AV146" s="707"/>
      <c r="AW146" s="707"/>
      <c r="AX146" s="707"/>
      <c r="AY146" s="707"/>
      <c r="AZ146" s="707"/>
    </row>
    <row r="147" spans="1:52" ht="15">
      <c r="A147" s="707"/>
      <c r="B147" s="707"/>
      <c r="C147" s="707"/>
      <c r="D147" s="707"/>
      <c r="E147" s="707"/>
      <c r="F147" s="707"/>
      <c r="G147" s="707"/>
      <c r="H147" s="707"/>
      <c r="I147" s="707"/>
      <c r="J147" s="707"/>
      <c r="K147" s="707"/>
      <c r="L147" s="707"/>
      <c r="M147" s="707"/>
      <c r="N147" s="707"/>
      <c r="O147" s="707"/>
      <c r="P147" s="707"/>
      <c r="Q147" s="707"/>
      <c r="R147" s="707"/>
      <c r="S147" s="707"/>
      <c r="T147" s="707"/>
      <c r="U147" s="707"/>
      <c r="V147" s="707"/>
      <c r="W147" s="707"/>
      <c r="X147" s="707"/>
      <c r="Y147" s="707"/>
      <c r="Z147" s="707"/>
      <c r="AA147" s="707"/>
      <c r="AB147" s="707"/>
      <c r="AC147" s="707"/>
      <c r="AD147" s="707"/>
      <c r="AE147" s="707"/>
      <c r="AF147" s="707"/>
      <c r="AG147" s="707"/>
      <c r="AH147" s="707"/>
      <c r="AI147" s="707"/>
      <c r="AJ147" s="707"/>
      <c r="AK147" s="707"/>
      <c r="AL147" s="707"/>
      <c r="AM147" s="707"/>
      <c r="AN147" s="707"/>
      <c r="AO147" s="707"/>
      <c r="AP147" s="707"/>
      <c r="AQ147" s="707"/>
      <c r="AR147" s="707"/>
      <c r="AS147" s="707"/>
      <c r="AT147" s="707"/>
      <c r="AU147" s="707"/>
      <c r="AV147" s="707"/>
      <c r="AW147" s="707"/>
      <c r="AX147" s="707"/>
      <c r="AY147" s="707"/>
      <c r="AZ147" s="707"/>
    </row>
    <row r="148" spans="1:52" ht="15">
      <c r="A148" s="707"/>
      <c r="B148" s="707"/>
      <c r="C148" s="707"/>
      <c r="D148" s="707"/>
      <c r="E148" s="707"/>
      <c r="F148" s="707"/>
      <c r="G148" s="707"/>
      <c r="H148" s="707"/>
      <c r="I148" s="707"/>
      <c r="J148" s="707"/>
      <c r="K148" s="707"/>
      <c r="L148" s="707"/>
      <c r="M148" s="707"/>
      <c r="N148" s="707"/>
      <c r="O148" s="707"/>
      <c r="P148" s="707"/>
      <c r="Q148" s="707"/>
      <c r="R148" s="707"/>
      <c r="S148" s="707"/>
      <c r="T148" s="707"/>
      <c r="U148" s="707"/>
      <c r="V148" s="707"/>
      <c r="W148" s="707"/>
      <c r="X148" s="707"/>
      <c r="Y148" s="707"/>
      <c r="Z148" s="707"/>
      <c r="AA148" s="707"/>
      <c r="AB148" s="707"/>
      <c r="AC148" s="707"/>
      <c r="AD148" s="707"/>
      <c r="AE148" s="707"/>
      <c r="AF148" s="707"/>
      <c r="AG148" s="707"/>
      <c r="AH148" s="707"/>
      <c r="AI148" s="707"/>
      <c r="AJ148" s="707"/>
      <c r="AK148" s="707"/>
      <c r="AL148" s="707"/>
      <c r="AM148" s="707"/>
      <c r="AN148" s="707"/>
      <c r="AO148" s="707"/>
      <c r="AP148" s="707"/>
      <c r="AQ148" s="707"/>
      <c r="AR148" s="707"/>
      <c r="AS148" s="707"/>
      <c r="AT148" s="707"/>
      <c r="AU148" s="707"/>
      <c r="AV148" s="707"/>
      <c r="AW148" s="707"/>
      <c r="AX148" s="707"/>
      <c r="AY148" s="707"/>
      <c r="AZ148" s="707"/>
    </row>
    <row r="149" spans="1:52" ht="15">
      <c r="A149" s="707"/>
      <c r="B149" s="707"/>
      <c r="C149" s="707"/>
      <c r="D149" s="707"/>
      <c r="E149" s="707"/>
      <c r="F149" s="707"/>
      <c r="G149" s="707"/>
      <c r="H149" s="707"/>
      <c r="I149" s="707"/>
      <c r="J149" s="707"/>
      <c r="K149" s="707"/>
      <c r="L149" s="707"/>
      <c r="M149" s="707"/>
      <c r="N149" s="707"/>
      <c r="O149" s="707"/>
      <c r="P149" s="707"/>
      <c r="Q149" s="707"/>
      <c r="R149" s="707"/>
      <c r="S149" s="707"/>
      <c r="T149" s="707"/>
      <c r="U149" s="707"/>
      <c r="V149" s="707"/>
      <c r="W149" s="707"/>
      <c r="X149" s="707"/>
      <c r="Y149" s="707"/>
      <c r="Z149" s="707"/>
      <c r="AA149" s="707"/>
      <c r="AB149" s="707"/>
      <c r="AC149" s="707"/>
      <c r="AD149" s="707"/>
      <c r="AE149" s="707"/>
      <c r="AF149" s="707"/>
      <c r="AG149" s="707"/>
      <c r="AH149" s="707"/>
      <c r="AI149" s="707"/>
      <c r="AJ149" s="707"/>
      <c r="AK149" s="707"/>
      <c r="AL149" s="707"/>
      <c r="AM149" s="707"/>
      <c r="AN149" s="707"/>
      <c r="AO149" s="707"/>
      <c r="AP149" s="707"/>
      <c r="AQ149" s="707"/>
      <c r="AR149" s="707"/>
      <c r="AS149" s="707"/>
      <c r="AT149" s="707"/>
      <c r="AU149" s="707"/>
      <c r="AV149" s="707"/>
      <c r="AW149" s="707"/>
      <c r="AX149" s="707"/>
      <c r="AY149" s="707"/>
      <c r="AZ149" s="707"/>
    </row>
    <row r="150" spans="1:52" ht="15">
      <c r="A150" s="707"/>
      <c r="B150" s="707"/>
      <c r="C150" s="707"/>
      <c r="D150" s="707"/>
      <c r="E150" s="707"/>
      <c r="F150" s="707"/>
      <c r="G150" s="707"/>
      <c r="H150" s="707"/>
      <c r="I150" s="707"/>
      <c r="J150" s="707"/>
      <c r="K150" s="707"/>
      <c r="L150" s="707"/>
      <c r="M150" s="707"/>
      <c r="N150" s="707"/>
      <c r="O150" s="707"/>
      <c r="P150" s="707"/>
      <c r="Q150" s="707"/>
      <c r="R150" s="707"/>
      <c r="S150" s="707"/>
      <c r="T150" s="707"/>
      <c r="U150" s="707"/>
      <c r="V150" s="707"/>
      <c r="W150" s="707"/>
      <c r="X150" s="707"/>
      <c r="Y150" s="707"/>
      <c r="Z150" s="707"/>
      <c r="AA150" s="707"/>
      <c r="AB150" s="707"/>
      <c r="AC150" s="707"/>
      <c r="AD150" s="707"/>
      <c r="AE150" s="707"/>
      <c r="AF150" s="707"/>
      <c r="AG150" s="707"/>
      <c r="AH150" s="707"/>
      <c r="AI150" s="707"/>
      <c r="AJ150" s="707"/>
      <c r="AK150" s="707"/>
      <c r="AL150" s="707"/>
      <c r="AM150" s="707"/>
      <c r="AN150" s="707"/>
      <c r="AO150" s="707"/>
      <c r="AP150" s="707"/>
      <c r="AQ150" s="707"/>
      <c r="AR150" s="707"/>
      <c r="AS150" s="707"/>
      <c r="AT150" s="707"/>
      <c r="AU150" s="707"/>
      <c r="AV150" s="707"/>
      <c r="AW150" s="707"/>
      <c r="AX150" s="707"/>
      <c r="AY150" s="707"/>
      <c r="AZ150" s="707"/>
    </row>
  </sheetData>
  <sheetProtection password="DE92" sheet="1" selectLockedCells="1"/>
  <mergeCells count="75">
    <mergeCell ref="C2:G2"/>
    <mergeCell ref="C3:G3"/>
    <mergeCell ref="C4:D4"/>
    <mergeCell ref="E4:G4"/>
    <mergeCell ref="C5:D5"/>
    <mergeCell ref="C6:D6"/>
    <mergeCell ref="E5:H5"/>
    <mergeCell ref="E6:H6"/>
    <mergeCell ref="C11:H11"/>
    <mergeCell ref="C24:G24"/>
    <mergeCell ref="B26:M26"/>
    <mergeCell ref="C13:H13"/>
    <mergeCell ref="C14:H14"/>
    <mergeCell ref="C18:H18"/>
    <mergeCell ref="C16:H16"/>
    <mergeCell ref="I43:J43"/>
    <mergeCell ref="B27:M27"/>
    <mergeCell ref="C29:D29"/>
    <mergeCell ref="L29:M29"/>
    <mergeCell ref="C30:D30"/>
    <mergeCell ref="L30:M30"/>
    <mergeCell ref="C34:D34"/>
    <mergeCell ref="L34:M34"/>
    <mergeCell ref="I37:J37"/>
    <mergeCell ref="I34:J34"/>
    <mergeCell ref="I36:J36"/>
    <mergeCell ref="C33:D33"/>
    <mergeCell ref="E8:H8"/>
    <mergeCell ref="C31:D31"/>
    <mergeCell ref="C32:D32"/>
    <mergeCell ref="C21:H21"/>
    <mergeCell ref="C22:H22"/>
    <mergeCell ref="C20:H20"/>
    <mergeCell ref="C8:D8"/>
    <mergeCell ref="G10:K10"/>
    <mergeCell ref="C7:D7"/>
    <mergeCell ref="L33:M33"/>
    <mergeCell ref="C9:D9"/>
    <mergeCell ref="C37:D37"/>
    <mergeCell ref="L37:M37"/>
    <mergeCell ref="L35:M35"/>
    <mergeCell ref="C36:D36"/>
    <mergeCell ref="L36:M36"/>
    <mergeCell ref="E7:H7"/>
    <mergeCell ref="I35:J35"/>
    <mergeCell ref="C38:D38"/>
    <mergeCell ref="L38:M38"/>
    <mergeCell ref="I30:J30"/>
    <mergeCell ref="I31:J31"/>
    <mergeCell ref="I32:J32"/>
    <mergeCell ref="I33:J33"/>
    <mergeCell ref="C35:D35"/>
    <mergeCell ref="L31:M31"/>
    <mergeCell ref="L32:M32"/>
    <mergeCell ref="I38:J38"/>
    <mergeCell ref="C42:D42"/>
    <mergeCell ref="L42:M42"/>
    <mergeCell ref="C39:D39"/>
    <mergeCell ref="L39:M39"/>
    <mergeCell ref="C40:D40"/>
    <mergeCell ref="I39:J39"/>
    <mergeCell ref="I40:J40"/>
    <mergeCell ref="I41:J41"/>
    <mergeCell ref="I42:J42"/>
    <mergeCell ref="L40:M40"/>
    <mergeCell ref="B53:C53"/>
    <mergeCell ref="D53:E53"/>
    <mergeCell ref="C15:H15"/>
    <mergeCell ref="C43:D43"/>
    <mergeCell ref="L43:M43"/>
    <mergeCell ref="B45:M48"/>
    <mergeCell ref="B52:C52"/>
    <mergeCell ref="C41:D41"/>
    <mergeCell ref="I29:J29"/>
    <mergeCell ref="L41:M41"/>
  </mergeCells>
  <printOptions/>
  <pageMargins left="0.47" right="0.18" top="0.640277777777778" bottom="0.59" header="0.511805555555556" footer="0.511805555555556"/>
  <pageSetup horizontalDpi="300" verticalDpi="300" orientation="portrait" paperSize="9" scale="95" r:id="rId2"/>
  <ignoredErrors>
    <ignoredError sqref="D52:D53" unlockedFormula="1"/>
  </ignoredErrors>
  <drawing r:id="rId1"/>
</worksheet>
</file>

<file path=xl/worksheets/sheet7.xml><?xml version="1.0" encoding="utf-8"?>
<worksheet xmlns="http://schemas.openxmlformats.org/spreadsheetml/2006/main" xmlns:r="http://schemas.openxmlformats.org/officeDocument/2006/relationships">
  <sheetPr>
    <tabColor theme="6" tint="-0.4999699890613556"/>
  </sheetPr>
  <dimension ref="B2:V48"/>
  <sheetViews>
    <sheetView showGridLines="0" showRowColHeaders="0" zoomScalePageLayoutView="0" workbookViewId="0" topLeftCell="A1">
      <selection activeCell="K3" sqref="K3:P3"/>
    </sheetView>
  </sheetViews>
  <sheetFormatPr defaultColWidth="9.140625" defaultRowHeight="12.75"/>
  <cols>
    <col min="2" max="7" width="8.00390625" style="0" customWidth="1"/>
    <col min="8" max="8" width="7.8515625" style="0" hidden="1" customWidth="1"/>
    <col min="9" max="14" width="8.00390625" style="0" customWidth="1"/>
    <col min="15" max="15" width="6.7109375" style="0" hidden="1" customWidth="1"/>
    <col min="16" max="16" width="0.42578125" style="0" customWidth="1"/>
    <col min="20" max="22" width="0" style="0" hidden="1" customWidth="1"/>
  </cols>
  <sheetData>
    <row r="1" ht="15.75" customHeight="1" thickBot="1"/>
    <row r="2" spans="2:16" ht="39" thickBot="1" thickTop="1">
      <c r="B2" s="1304" t="s">
        <v>810</v>
      </c>
      <c r="C2" s="1305"/>
      <c r="D2" s="1305"/>
      <c r="E2" s="1305"/>
      <c r="F2" s="1305"/>
      <c r="G2" s="1305"/>
      <c r="H2" s="1305"/>
      <c r="I2" s="1305"/>
      <c r="J2" s="1305"/>
      <c r="K2" s="1305"/>
      <c r="L2" s="1305"/>
      <c r="M2" s="1305"/>
      <c r="N2" s="1305"/>
      <c r="O2" s="1305"/>
      <c r="P2" s="1306"/>
    </row>
    <row r="3" spans="2:16" ht="15">
      <c r="B3" s="1296" t="s">
        <v>811</v>
      </c>
      <c r="C3" s="1297"/>
      <c r="D3" s="1297"/>
      <c r="E3" s="1298" t="s">
        <v>812</v>
      </c>
      <c r="F3" s="1298"/>
      <c r="G3" s="1298"/>
      <c r="H3" s="1298"/>
      <c r="I3" s="1299" t="s">
        <v>813</v>
      </c>
      <c r="J3" s="1299"/>
      <c r="K3" s="1322" t="s">
        <v>814</v>
      </c>
      <c r="L3" s="1322"/>
      <c r="M3" s="1322"/>
      <c r="N3" s="1322"/>
      <c r="O3" s="1322"/>
      <c r="P3" s="1323"/>
    </row>
    <row r="4" spans="2:22" ht="17.25" customHeight="1">
      <c r="B4" s="1300" t="s">
        <v>815</v>
      </c>
      <c r="C4" s="1301"/>
      <c r="D4" s="1301"/>
      <c r="E4" s="1302">
        <v>0.71904</v>
      </c>
      <c r="F4" s="1302"/>
      <c r="G4" s="855" t="s">
        <v>42</v>
      </c>
      <c r="H4" s="1302">
        <v>0.77896</v>
      </c>
      <c r="I4" s="1302"/>
      <c r="J4" s="809" t="s">
        <v>816</v>
      </c>
      <c r="K4" s="810">
        <f>U8</f>
        <v>0.08560000000000001</v>
      </c>
      <c r="L4" s="843" t="s">
        <v>817</v>
      </c>
      <c r="M4" s="1303">
        <v>41821</v>
      </c>
      <c r="N4" s="1303"/>
      <c r="O4" s="1303"/>
      <c r="P4" s="844"/>
      <c r="R4" s="4"/>
      <c r="S4" s="4"/>
      <c r="T4" s="1"/>
      <c r="U4" s="4"/>
      <c r="V4" s="4"/>
    </row>
    <row r="5" spans="2:22" ht="15.75" thickBot="1">
      <c r="B5" s="1313" t="s">
        <v>818</v>
      </c>
      <c r="C5" s="1314"/>
      <c r="D5" s="1314"/>
      <c r="E5" s="1315">
        <v>3</v>
      </c>
      <c r="F5" s="1315"/>
      <c r="G5" s="845"/>
      <c r="H5" s="846"/>
      <c r="I5" s="1316" t="s">
        <v>819</v>
      </c>
      <c r="J5" s="1316"/>
      <c r="K5" s="1317">
        <v>41913</v>
      </c>
      <c r="L5" s="1317"/>
      <c r="M5" s="846"/>
      <c r="N5" s="1294"/>
      <c r="O5" s="1294"/>
      <c r="P5" s="1295"/>
      <c r="R5" s="4"/>
      <c r="S5" s="1"/>
      <c r="T5" s="4"/>
      <c r="U5" s="4"/>
      <c r="V5" s="4"/>
    </row>
    <row r="6" spans="2:22" ht="22.5">
      <c r="B6" s="1318" t="s">
        <v>452</v>
      </c>
      <c r="C6" s="850" t="s">
        <v>292</v>
      </c>
      <c r="D6" s="850" t="s">
        <v>291</v>
      </c>
      <c r="E6" s="851" t="s">
        <v>816</v>
      </c>
      <c r="F6" s="853" t="s">
        <v>820</v>
      </c>
      <c r="G6" s="851" t="s">
        <v>821</v>
      </c>
      <c r="H6" s="847" t="s">
        <v>822</v>
      </c>
      <c r="I6" s="1320" t="s">
        <v>452</v>
      </c>
      <c r="J6" s="853" t="s">
        <v>292</v>
      </c>
      <c r="K6" s="850" t="s">
        <v>291</v>
      </c>
      <c r="L6" s="851" t="s">
        <v>816</v>
      </c>
      <c r="M6" s="853" t="s">
        <v>820</v>
      </c>
      <c r="N6" s="857" t="str">
        <f>G6</f>
        <v>CPS Holders</v>
      </c>
      <c r="O6" s="856" t="s">
        <v>822</v>
      </c>
      <c r="P6" s="848"/>
      <c r="R6" s="4"/>
      <c r="S6" s="1"/>
      <c r="T6" s="4"/>
      <c r="U6" s="4"/>
      <c r="V6" s="4"/>
    </row>
    <row r="7" spans="2:22" ht="22.5">
      <c r="B7" s="1319"/>
      <c r="C7" s="849">
        <f>T12</f>
        <v>0.71904</v>
      </c>
      <c r="D7" s="849">
        <f>T9</f>
        <v>0.63344</v>
      </c>
      <c r="E7" s="849">
        <f>K4</f>
        <v>0.08560000000000001</v>
      </c>
      <c r="F7" s="852" t="str">
        <f>CONCATENATE(E5," months")</f>
        <v>3 months</v>
      </c>
      <c r="G7" s="854" t="s">
        <v>827</v>
      </c>
      <c r="H7" s="811" t="str">
        <f>CONCATENATE(10," %  DA")</f>
        <v>10 %  DA</v>
      </c>
      <c r="I7" s="1321"/>
      <c r="J7" s="849">
        <f>C7</f>
        <v>0.71904</v>
      </c>
      <c r="K7" s="849">
        <f>D7</f>
        <v>0.63344</v>
      </c>
      <c r="L7" s="849">
        <f>K4</f>
        <v>0.08560000000000001</v>
      </c>
      <c r="M7" s="852" t="str">
        <f>F7</f>
        <v>3 months</v>
      </c>
      <c r="N7" s="854" t="str">
        <f>G7</f>
        <v>100% Amount</v>
      </c>
      <c r="O7" s="819" t="str">
        <f>H7</f>
        <v>10 %  DA</v>
      </c>
      <c r="P7" s="841"/>
      <c r="R7" s="4"/>
      <c r="S7" s="4"/>
      <c r="T7" s="4"/>
      <c r="U7" s="4"/>
      <c r="V7" s="4"/>
    </row>
    <row r="8" spans="2:22" ht="15">
      <c r="B8" s="820">
        <v>6700</v>
      </c>
      <c r="C8" s="812">
        <f>ROUND(B8*C7,0)</f>
        <v>4818</v>
      </c>
      <c r="D8" s="812">
        <f>ROUND(B8*D7,0)</f>
        <v>4244</v>
      </c>
      <c r="E8" s="812">
        <f>(C8-D8)</f>
        <v>574</v>
      </c>
      <c r="F8" s="812">
        <f>E8*E$5</f>
        <v>1722</v>
      </c>
      <c r="G8" s="813">
        <f>F8-H8</f>
        <v>1722</v>
      </c>
      <c r="H8" s="814">
        <f>ROUND(F8*0%,0)</f>
        <v>0</v>
      </c>
      <c r="I8" s="815">
        <v>20110</v>
      </c>
      <c r="J8" s="812">
        <f>ROUND(I8*J7,0)</f>
        <v>14460</v>
      </c>
      <c r="K8" s="812">
        <f>ROUND(I8*K7,0)</f>
        <v>12738</v>
      </c>
      <c r="L8" s="812">
        <f>(J8-K8)</f>
        <v>1722</v>
      </c>
      <c r="M8" s="812">
        <f>L8*E$5</f>
        <v>5166</v>
      </c>
      <c r="N8" s="813">
        <f aca="true" t="shared" si="0" ref="N8:N46">M8-O8</f>
        <v>5166</v>
      </c>
      <c r="O8" s="821">
        <f>ROUND(M8*0%,0)</f>
        <v>0</v>
      </c>
      <c r="P8" s="841"/>
      <c r="R8" s="114"/>
      <c r="S8" s="4"/>
      <c r="T8" s="112">
        <v>1</v>
      </c>
      <c r="U8" s="113">
        <f>T12-T9</f>
        <v>0.08560000000000001</v>
      </c>
      <c r="V8" s="4"/>
    </row>
    <row r="9" spans="2:22" ht="15">
      <c r="B9" s="822">
        <v>6900</v>
      </c>
      <c r="C9" s="812">
        <f>ROUND(B9*C7,0)</f>
        <v>4961</v>
      </c>
      <c r="D9" s="812">
        <f>ROUND(B9*D7,0)</f>
        <v>4371</v>
      </c>
      <c r="E9" s="812">
        <f aca="true" t="shared" si="1" ref="E9:E46">(C9-D9)</f>
        <v>590</v>
      </c>
      <c r="F9" s="812">
        <f aca="true" t="shared" si="2" ref="F9:F46">E9*E$5</f>
        <v>1770</v>
      </c>
      <c r="G9" s="813">
        <f aca="true" t="shared" si="3" ref="G9:G46">F9-H9</f>
        <v>1770</v>
      </c>
      <c r="H9" s="814">
        <f aca="true" t="shared" si="4" ref="H9:H46">ROUND(F9*0%,0)</f>
        <v>0</v>
      </c>
      <c r="I9" s="816">
        <v>20680</v>
      </c>
      <c r="J9" s="812">
        <f>ROUND(I9*J7,0)</f>
        <v>14870</v>
      </c>
      <c r="K9" s="812">
        <f>ROUND(I9*K7,0)</f>
        <v>13100</v>
      </c>
      <c r="L9" s="812">
        <f aca="true" t="shared" si="5" ref="L9:L46">(J9-K9)</f>
        <v>1770</v>
      </c>
      <c r="M9" s="812">
        <f aca="true" t="shared" si="6" ref="M9:M46">L9*E$5</f>
        <v>5310</v>
      </c>
      <c r="N9" s="813">
        <f t="shared" si="0"/>
        <v>5310</v>
      </c>
      <c r="O9" s="821">
        <f aca="true" t="shared" si="7" ref="O9:O46">ROUND(M9*0%,0)</f>
        <v>0</v>
      </c>
      <c r="P9" s="841"/>
      <c r="R9" s="4"/>
      <c r="S9" s="4"/>
      <c r="T9" s="113">
        <f>VLOOKUP(T8,T17:U18,2,0)</f>
        <v>0.63344</v>
      </c>
      <c r="U9" s="4"/>
      <c r="V9" s="4"/>
    </row>
    <row r="10" spans="2:22" ht="15">
      <c r="B10" s="823">
        <v>7100</v>
      </c>
      <c r="C10" s="812">
        <f>ROUND(B10*C7,0)</f>
        <v>5105</v>
      </c>
      <c r="D10" s="812">
        <f>ROUND(B10*D7,0)</f>
        <v>4497</v>
      </c>
      <c r="E10" s="812">
        <f t="shared" si="1"/>
        <v>608</v>
      </c>
      <c r="F10" s="812">
        <f t="shared" si="2"/>
        <v>1824</v>
      </c>
      <c r="G10" s="813">
        <f t="shared" si="3"/>
        <v>1824</v>
      </c>
      <c r="H10" s="814">
        <f t="shared" si="4"/>
        <v>0</v>
      </c>
      <c r="I10" s="816">
        <v>21250</v>
      </c>
      <c r="J10" s="812">
        <f>ROUND(I10*J7,0)</f>
        <v>15280</v>
      </c>
      <c r="K10" s="812">
        <f>ROUND(I10*K7,0)</f>
        <v>13461</v>
      </c>
      <c r="L10" s="812">
        <f t="shared" si="5"/>
        <v>1819</v>
      </c>
      <c r="M10" s="812">
        <f t="shared" si="6"/>
        <v>5457</v>
      </c>
      <c r="N10" s="813">
        <f t="shared" si="0"/>
        <v>5457</v>
      </c>
      <c r="O10" s="821">
        <f t="shared" si="7"/>
        <v>0</v>
      </c>
      <c r="P10" s="841"/>
      <c r="R10" s="4"/>
      <c r="S10" s="4"/>
      <c r="T10" s="4"/>
      <c r="U10" s="4"/>
      <c r="V10" s="4"/>
    </row>
    <row r="11" spans="2:22" ht="15">
      <c r="B11" s="823">
        <v>7300</v>
      </c>
      <c r="C11" s="812">
        <f>ROUND(B11*C7,0)</f>
        <v>5249</v>
      </c>
      <c r="D11" s="812">
        <f>ROUND(B11*D7,0)</f>
        <v>4624</v>
      </c>
      <c r="E11" s="812">
        <f t="shared" si="1"/>
        <v>625</v>
      </c>
      <c r="F11" s="812">
        <f t="shared" si="2"/>
        <v>1875</v>
      </c>
      <c r="G11" s="813">
        <f t="shared" si="3"/>
        <v>1875</v>
      </c>
      <c r="H11" s="814">
        <f t="shared" si="4"/>
        <v>0</v>
      </c>
      <c r="I11" s="816">
        <v>21820</v>
      </c>
      <c r="J11" s="812">
        <f>ROUND(I11*J7,0)</f>
        <v>15689</v>
      </c>
      <c r="K11" s="812">
        <f>ROUND(I11*K7,0)</f>
        <v>13822</v>
      </c>
      <c r="L11" s="812">
        <f t="shared" si="5"/>
        <v>1867</v>
      </c>
      <c r="M11" s="812">
        <f t="shared" si="6"/>
        <v>5601</v>
      </c>
      <c r="N11" s="813">
        <f t="shared" si="0"/>
        <v>5601</v>
      </c>
      <c r="O11" s="821">
        <f t="shared" si="7"/>
        <v>0</v>
      </c>
      <c r="P11" s="841"/>
      <c r="R11" s="4"/>
      <c r="S11" s="4"/>
      <c r="T11" s="112">
        <v>1</v>
      </c>
      <c r="U11" s="4"/>
      <c r="V11" s="4"/>
    </row>
    <row r="12" spans="2:22" ht="15">
      <c r="B12" s="823">
        <v>7520</v>
      </c>
      <c r="C12" s="812">
        <f>ROUND(B12*C7,0)</f>
        <v>5407</v>
      </c>
      <c r="D12" s="812">
        <f>ROUND(B12*D7,0)</f>
        <v>4763</v>
      </c>
      <c r="E12" s="812">
        <f t="shared" si="1"/>
        <v>644</v>
      </c>
      <c r="F12" s="812">
        <f t="shared" si="2"/>
        <v>1932</v>
      </c>
      <c r="G12" s="813">
        <f t="shared" si="3"/>
        <v>1932</v>
      </c>
      <c r="H12" s="814">
        <f t="shared" si="4"/>
        <v>0</v>
      </c>
      <c r="I12" s="816">
        <v>22430</v>
      </c>
      <c r="J12" s="812">
        <f>ROUND(I12*J7,0)</f>
        <v>16128</v>
      </c>
      <c r="K12" s="812">
        <f>ROUND(I12*K7,0)</f>
        <v>14208</v>
      </c>
      <c r="L12" s="812">
        <f t="shared" si="5"/>
        <v>1920</v>
      </c>
      <c r="M12" s="812">
        <f t="shared" si="6"/>
        <v>5760</v>
      </c>
      <c r="N12" s="813">
        <f t="shared" si="0"/>
        <v>5760</v>
      </c>
      <c r="O12" s="821">
        <f t="shared" si="7"/>
        <v>0</v>
      </c>
      <c r="P12" s="841"/>
      <c r="R12" s="4"/>
      <c r="S12" s="4"/>
      <c r="T12" s="113">
        <f>VLOOKUP(T11,T17:V18,3,0)</f>
        <v>0.71904</v>
      </c>
      <c r="U12" s="4"/>
      <c r="V12" s="4"/>
    </row>
    <row r="13" spans="2:22" ht="15">
      <c r="B13" s="823">
        <v>7740</v>
      </c>
      <c r="C13" s="812">
        <f>ROUND(B13*C7,0)</f>
        <v>5565</v>
      </c>
      <c r="D13" s="812">
        <f>ROUND(B13*D7,0)</f>
        <v>4903</v>
      </c>
      <c r="E13" s="812">
        <f t="shared" si="1"/>
        <v>662</v>
      </c>
      <c r="F13" s="812">
        <f t="shared" si="2"/>
        <v>1986</v>
      </c>
      <c r="G13" s="813">
        <f t="shared" si="3"/>
        <v>1986</v>
      </c>
      <c r="H13" s="814">
        <f t="shared" si="4"/>
        <v>0</v>
      </c>
      <c r="I13" s="816">
        <v>23040</v>
      </c>
      <c r="J13" s="812">
        <f>ROUND(I13*J7,0)</f>
        <v>16567</v>
      </c>
      <c r="K13" s="812">
        <f>ROUND(I13*K7,0)</f>
        <v>14594</v>
      </c>
      <c r="L13" s="812">
        <f t="shared" si="5"/>
        <v>1973</v>
      </c>
      <c r="M13" s="812">
        <f t="shared" si="6"/>
        <v>5919</v>
      </c>
      <c r="N13" s="813">
        <f t="shared" si="0"/>
        <v>5919</v>
      </c>
      <c r="O13" s="821">
        <f t="shared" si="7"/>
        <v>0</v>
      </c>
      <c r="P13" s="841"/>
      <c r="R13" s="4"/>
      <c r="S13" s="4"/>
      <c r="T13" s="4"/>
      <c r="U13" s="4"/>
      <c r="V13" s="4"/>
    </row>
    <row r="14" spans="2:22" ht="15">
      <c r="B14" s="823">
        <v>7960</v>
      </c>
      <c r="C14" s="812">
        <f>ROUND(B14*C7,0)</f>
        <v>5724</v>
      </c>
      <c r="D14" s="812">
        <f>ROUND(B14*D7,0)</f>
        <v>5042</v>
      </c>
      <c r="E14" s="812">
        <f t="shared" si="1"/>
        <v>682</v>
      </c>
      <c r="F14" s="812">
        <f t="shared" si="2"/>
        <v>2046</v>
      </c>
      <c r="G14" s="813">
        <f t="shared" si="3"/>
        <v>2046</v>
      </c>
      <c r="H14" s="814">
        <f t="shared" si="4"/>
        <v>0</v>
      </c>
      <c r="I14" s="816">
        <v>23650</v>
      </c>
      <c r="J14" s="812">
        <f>ROUND(I14*J7,0)</f>
        <v>17005</v>
      </c>
      <c r="K14" s="812">
        <f>ROUND(I14*K7,0)</f>
        <v>14981</v>
      </c>
      <c r="L14" s="812">
        <f t="shared" si="5"/>
        <v>2024</v>
      </c>
      <c r="M14" s="812">
        <f t="shared" si="6"/>
        <v>6072</v>
      </c>
      <c r="N14" s="813">
        <f t="shared" si="0"/>
        <v>6072</v>
      </c>
      <c r="O14" s="821">
        <f t="shared" si="7"/>
        <v>0</v>
      </c>
      <c r="P14" s="841"/>
      <c r="R14" s="4"/>
      <c r="S14" s="4"/>
      <c r="T14" s="4"/>
      <c r="U14" s="4"/>
      <c r="V14" s="4"/>
    </row>
    <row r="15" spans="2:22" ht="15">
      <c r="B15" s="823">
        <v>8200</v>
      </c>
      <c r="C15" s="812">
        <f>ROUND(B15*C7,0)</f>
        <v>5896</v>
      </c>
      <c r="D15" s="812">
        <f>ROUND(B15*D7,0)</f>
        <v>5194</v>
      </c>
      <c r="E15" s="812">
        <f t="shared" si="1"/>
        <v>702</v>
      </c>
      <c r="F15" s="812">
        <f t="shared" si="2"/>
        <v>2106</v>
      </c>
      <c r="G15" s="813">
        <f t="shared" si="3"/>
        <v>2106</v>
      </c>
      <c r="H15" s="814">
        <f t="shared" si="4"/>
        <v>0</v>
      </c>
      <c r="I15" s="816">
        <v>24300</v>
      </c>
      <c r="J15" s="812">
        <f>ROUND(I15*J7,0)</f>
        <v>17473</v>
      </c>
      <c r="K15" s="812">
        <f>ROUND(I15*K7,0)</f>
        <v>15393</v>
      </c>
      <c r="L15" s="812">
        <f t="shared" si="5"/>
        <v>2080</v>
      </c>
      <c r="M15" s="812">
        <f t="shared" si="6"/>
        <v>6240</v>
      </c>
      <c r="N15" s="813">
        <f t="shared" si="0"/>
        <v>6240</v>
      </c>
      <c r="O15" s="821">
        <f t="shared" si="7"/>
        <v>0</v>
      </c>
      <c r="P15" s="841"/>
      <c r="R15" s="4"/>
      <c r="S15" s="4"/>
      <c r="T15" s="4"/>
      <c r="U15" s="4"/>
      <c r="V15" s="4"/>
    </row>
    <row r="16" spans="2:22" ht="15">
      <c r="B16" s="823">
        <v>8440</v>
      </c>
      <c r="C16" s="812">
        <f>ROUND(B16*C7,0)</f>
        <v>6069</v>
      </c>
      <c r="D16" s="812">
        <f>ROUND(B16*D7,0)</f>
        <v>5346</v>
      </c>
      <c r="E16" s="812">
        <f t="shared" si="1"/>
        <v>723</v>
      </c>
      <c r="F16" s="812">
        <f t="shared" si="2"/>
        <v>2169</v>
      </c>
      <c r="G16" s="813">
        <f t="shared" si="3"/>
        <v>2169</v>
      </c>
      <c r="H16" s="814">
        <f t="shared" si="4"/>
        <v>0</v>
      </c>
      <c r="I16" s="816">
        <v>24950</v>
      </c>
      <c r="J16" s="812">
        <f>ROUND(I16*J7,0)</f>
        <v>17940</v>
      </c>
      <c r="K16" s="812">
        <f>ROUND(I16*K7,0)</f>
        <v>15804</v>
      </c>
      <c r="L16" s="812">
        <f t="shared" si="5"/>
        <v>2136</v>
      </c>
      <c r="M16" s="812">
        <f t="shared" si="6"/>
        <v>6408</v>
      </c>
      <c r="N16" s="813">
        <f t="shared" si="0"/>
        <v>6408</v>
      </c>
      <c r="O16" s="821">
        <f t="shared" si="7"/>
        <v>0</v>
      </c>
      <c r="P16" s="841"/>
      <c r="R16" s="4"/>
      <c r="S16" s="4"/>
      <c r="T16" s="4"/>
      <c r="U16" s="4"/>
      <c r="V16" s="4"/>
    </row>
    <row r="17" spans="2:22" ht="15">
      <c r="B17" s="823">
        <v>8680</v>
      </c>
      <c r="C17" s="812">
        <f>ROUND(B17*C7,0)</f>
        <v>6241</v>
      </c>
      <c r="D17" s="812">
        <f>ROUND(B17*D7,0)</f>
        <v>5498</v>
      </c>
      <c r="E17" s="812">
        <f t="shared" si="1"/>
        <v>743</v>
      </c>
      <c r="F17" s="812">
        <f t="shared" si="2"/>
        <v>2229</v>
      </c>
      <c r="G17" s="813">
        <f t="shared" si="3"/>
        <v>2229</v>
      </c>
      <c r="H17" s="814">
        <f t="shared" si="4"/>
        <v>0</v>
      </c>
      <c r="I17" s="816">
        <v>25600</v>
      </c>
      <c r="J17" s="812">
        <f>ROUND(I17*J7,0)</f>
        <v>18407</v>
      </c>
      <c r="K17" s="812">
        <f>ROUND(I17*K7,0)</f>
        <v>16216</v>
      </c>
      <c r="L17" s="812">
        <f t="shared" si="5"/>
        <v>2191</v>
      </c>
      <c r="M17" s="812">
        <f t="shared" si="6"/>
        <v>6573</v>
      </c>
      <c r="N17" s="813">
        <f t="shared" si="0"/>
        <v>6573</v>
      </c>
      <c r="O17" s="821">
        <f t="shared" si="7"/>
        <v>0</v>
      </c>
      <c r="P17" s="841"/>
      <c r="R17" s="4"/>
      <c r="S17" s="4"/>
      <c r="T17" s="4">
        <v>1</v>
      </c>
      <c r="U17" s="288">
        <v>0.63344</v>
      </c>
      <c r="V17" s="288">
        <v>0.71904</v>
      </c>
    </row>
    <row r="18" spans="2:22" ht="15">
      <c r="B18" s="823">
        <v>8940</v>
      </c>
      <c r="C18" s="812">
        <f>ROUND(B18*C7,0)</f>
        <v>6428</v>
      </c>
      <c r="D18" s="812">
        <f>ROUND(B18*D7,0)</f>
        <v>5663</v>
      </c>
      <c r="E18" s="812">
        <f t="shared" si="1"/>
        <v>765</v>
      </c>
      <c r="F18" s="812">
        <f t="shared" si="2"/>
        <v>2295</v>
      </c>
      <c r="G18" s="813">
        <f t="shared" si="3"/>
        <v>2295</v>
      </c>
      <c r="H18" s="814">
        <f t="shared" si="4"/>
        <v>0</v>
      </c>
      <c r="I18" s="816">
        <v>26300</v>
      </c>
      <c r="J18" s="812">
        <f>ROUND(I18*J7,0)</f>
        <v>18911</v>
      </c>
      <c r="K18" s="812">
        <f>ROUND(I18*K7,0)</f>
        <v>16659</v>
      </c>
      <c r="L18" s="812">
        <f t="shared" si="5"/>
        <v>2252</v>
      </c>
      <c r="M18" s="812">
        <f t="shared" si="6"/>
        <v>6756</v>
      </c>
      <c r="N18" s="813">
        <f t="shared" si="0"/>
        <v>6756</v>
      </c>
      <c r="O18" s="821">
        <f t="shared" si="7"/>
        <v>0</v>
      </c>
      <c r="P18" s="841"/>
      <c r="R18" s="4"/>
      <c r="S18" s="4"/>
      <c r="T18" s="4">
        <v>2</v>
      </c>
      <c r="U18" s="288">
        <v>0.71904</v>
      </c>
      <c r="V18" s="288">
        <v>0.77896</v>
      </c>
    </row>
    <row r="19" spans="2:16" ht="15">
      <c r="B19" s="823">
        <v>9200</v>
      </c>
      <c r="C19" s="812">
        <f>ROUND(B19*C7,0)</f>
        <v>6615</v>
      </c>
      <c r="D19" s="812">
        <f>ROUND(B19*D7,0)</f>
        <v>5828</v>
      </c>
      <c r="E19" s="812">
        <f t="shared" si="1"/>
        <v>787</v>
      </c>
      <c r="F19" s="812">
        <f t="shared" si="2"/>
        <v>2361</v>
      </c>
      <c r="G19" s="813">
        <f t="shared" si="3"/>
        <v>2361</v>
      </c>
      <c r="H19" s="814">
        <f t="shared" si="4"/>
        <v>0</v>
      </c>
      <c r="I19" s="816">
        <v>27000</v>
      </c>
      <c r="J19" s="812">
        <f>ROUND(I19*J7,0)</f>
        <v>19414</v>
      </c>
      <c r="K19" s="812">
        <f>ROUND(I19*K7,0)</f>
        <v>17103</v>
      </c>
      <c r="L19" s="812">
        <f t="shared" si="5"/>
        <v>2311</v>
      </c>
      <c r="M19" s="812">
        <f t="shared" si="6"/>
        <v>6933</v>
      </c>
      <c r="N19" s="813">
        <f t="shared" si="0"/>
        <v>6933</v>
      </c>
      <c r="O19" s="821">
        <f t="shared" si="7"/>
        <v>0</v>
      </c>
      <c r="P19" s="841"/>
    </row>
    <row r="20" spans="2:16" ht="15">
      <c r="B20" s="823">
        <v>9460</v>
      </c>
      <c r="C20" s="812">
        <f>ROUND(B20*C7,0)</f>
        <v>6802</v>
      </c>
      <c r="D20" s="812">
        <f>ROUND(B20*D7,0)</f>
        <v>5992</v>
      </c>
      <c r="E20" s="812">
        <f t="shared" si="1"/>
        <v>810</v>
      </c>
      <c r="F20" s="812">
        <f t="shared" si="2"/>
        <v>2430</v>
      </c>
      <c r="G20" s="813">
        <f t="shared" si="3"/>
        <v>2430</v>
      </c>
      <c r="H20" s="814">
        <f t="shared" si="4"/>
        <v>0</v>
      </c>
      <c r="I20" s="816">
        <v>27700</v>
      </c>
      <c r="J20" s="812">
        <f>ROUND(I20*J7,0)</f>
        <v>19917</v>
      </c>
      <c r="K20" s="812">
        <f>ROUND(I20*K7,0)</f>
        <v>17546</v>
      </c>
      <c r="L20" s="812">
        <f t="shared" si="5"/>
        <v>2371</v>
      </c>
      <c r="M20" s="812">
        <f t="shared" si="6"/>
        <v>7113</v>
      </c>
      <c r="N20" s="813">
        <f t="shared" si="0"/>
        <v>7113</v>
      </c>
      <c r="O20" s="821">
        <f t="shared" si="7"/>
        <v>0</v>
      </c>
      <c r="P20" s="841"/>
    </row>
    <row r="21" spans="2:16" ht="15">
      <c r="B21" s="823">
        <v>9740</v>
      </c>
      <c r="C21" s="812">
        <f>ROUND(B21*C7,0)</f>
        <v>7003</v>
      </c>
      <c r="D21" s="812">
        <f>ROUND(B21*D7,0)</f>
        <v>6170</v>
      </c>
      <c r="E21" s="812">
        <f t="shared" si="1"/>
        <v>833</v>
      </c>
      <c r="F21" s="812">
        <f t="shared" si="2"/>
        <v>2499</v>
      </c>
      <c r="G21" s="813">
        <f t="shared" si="3"/>
        <v>2499</v>
      </c>
      <c r="H21" s="814">
        <f t="shared" si="4"/>
        <v>0</v>
      </c>
      <c r="I21" s="816">
        <v>28450</v>
      </c>
      <c r="J21" s="812">
        <f>ROUND(I21*J7,0)</f>
        <v>20457</v>
      </c>
      <c r="K21" s="812">
        <f>ROUND(I21*K7,0)</f>
        <v>18021</v>
      </c>
      <c r="L21" s="812">
        <f t="shared" si="5"/>
        <v>2436</v>
      </c>
      <c r="M21" s="812">
        <f t="shared" si="6"/>
        <v>7308</v>
      </c>
      <c r="N21" s="813">
        <f t="shared" si="0"/>
        <v>7308</v>
      </c>
      <c r="O21" s="821">
        <f t="shared" si="7"/>
        <v>0</v>
      </c>
      <c r="P21" s="841"/>
    </row>
    <row r="22" spans="2:16" ht="15">
      <c r="B22" s="823">
        <v>10020</v>
      </c>
      <c r="C22" s="812">
        <f>ROUND(B22*C7,0)</f>
        <v>7205</v>
      </c>
      <c r="D22" s="812">
        <f>ROUND(B22*D7,0)</f>
        <v>6347</v>
      </c>
      <c r="E22" s="812">
        <f t="shared" si="1"/>
        <v>858</v>
      </c>
      <c r="F22" s="812">
        <f t="shared" si="2"/>
        <v>2574</v>
      </c>
      <c r="G22" s="813">
        <f t="shared" si="3"/>
        <v>2574</v>
      </c>
      <c r="H22" s="814">
        <f t="shared" si="4"/>
        <v>0</v>
      </c>
      <c r="I22" s="816">
        <v>29200</v>
      </c>
      <c r="J22" s="812">
        <f>ROUND(I22*J7,0)</f>
        <v>20996</v>
      </c>
      <c r="K22" s="812">
        <f>ROUND(I22*K7,0)</f>
        <v>18496</v>
      </c>
      <c r="L22" s="812">
        <f t="shared" si="5"/>
        <v>2500</v>
      </c>
      <c r="M22" s="812">
        <f t="shared" si="6"/>
        <v>7500</v>
      </c>
      <c r="N22" s="813">
        <f t="shared" si="0"/>
        <v>7500</v>
      </c>
      <c r="O22" s="821">
        <f t="shared" si="7"/>
        <v>0</v>
      </c>
      <c r="P22" s="841"/>
    </row>
    <row r="23" spans="2:16" ht="15">
      <c r="B23" s="823">
        <v>10300</v>
      </c>
      <c r="C23" s="812">
        <f>ROUND(B23*C7,0)</f>
        <v>7406</v>
      </c>
      <c r="D23" s="812">
        <f>ROUND(B23*D7,0)</f>
        <v>6524</v>
      </c>
      <c r="E23" s="812">
        <f t="shared" si="1"/>
        <v>882</v>
      </c>
      <c r="F23" s="812">
        <f t="shared" si="2"/>
        <v>2646</v>
      </c>
      <c r="G23" s="813">
        <f t="shared" si="3"/>
        <v>2646</v>
      </c>
      <c r="H23" s="814">
        <f t="shared" si="4"/>
        <v>0</v>
      </c>
      <c r="I23" s="816">
        <v>29950</v>
      </c>
      <c r="J23" s="812">
        <f>ROUND(I23*J7,0)</f>
        <v>21535</v>
      </c>
      <c r="K23" s="812">
        <f>ROUND(I23*K7,0)</f>
        <v>18972</v>
      </c>
      <c r="L23" s="812">
        <f t="shared" si="5"/>
        <v>2563</v>
      </c>
      <c r="M23" s="812">
        <f t="shared" si="6"/>
        <v>7689</v>
      </c>
      <c r="N23" s="813">
        <f t="shared" si="0"/>
        <v>7689</v>
      </c>
      <c r="O23" s="821">
        <f t="shared" si="7"/>
        <v>0</v>
      </c>
      <c r="P23" s="841"/>
    </row>
    <row r="24" spans="2:16" ht="15">
      <c r="B24" s="823">
        <v>10600</v>
      </c>
      <c r="C24" s="812">
        <f>ROUND(B24*C7,0)</f>
        <v>7622</v>
      </c>
      <c r="D24" s="812">
        <f>ROUND(B24*D7,0)</f>
        <v>6714</v>
      </c>
      <c r="E24" s="812">
        <f t="shared" si="1"/>
        <v>908</v>
      </c>
      <c r="F24" s="812">
        <f t="shared" si="2"/>
        <v>2724</v>
      </c>
      <c r="G24" s="813">
        <f t="shared" si="3"/>
        <v>2724</v>
      </c>
      <c r="H24" s="814">
        <f t="shared" si="4"/>
        <v>0</v>
      </c>
      <c r="I24" s="816">
        <v>30750</v>
      </c>
      <c r="J24" s="812">
        <f>ROUND(I24*J7,0)</f>
        <v>22110</v>
      </c>
      <c r="K24" s="812">
        <f>ROUND(I24*K7,0)</f>
        <v>19478</v>
      </c>
      <c r="L24" s="812">
        <f t="shared" si="5"/>
        <v>2632</v>
      </c>
      <c r="M24" s="812">
        <f t="shared" si="6"/>
        <v>7896</v>
      </c>
      <c r="N24" s="813">
        <f t="shared" si="0"/>
        <v>7896</v>
      </c>
      <c r="O24" s="821">
        <f t="shared" si="7"/>
        <v>0</v>
      </c>
      <c r="P24" s="841"/>
    </row>
    <row r="25" spans="2:16" ht="15">
      <c r="B25" s="823">
        <v>10900</v>
      </c>
      <c r="C25" s="812">
        <f>ROUND(B25*C7,0)</f>
        <v>7838</v>
      </c>
      <c r="D25" s="812">
        <f>ROUND(B25*D7,0)</f>
        <v>6904</v>
      </c>
      <c r="E25" s="812">
        <f t="shared" si="1"/>
        <v>934</v>
      </c>
      <c r="F25" s="812">
        <f t="shared" si="2"/>
        <v>2802</v>
      </c>
      <c r="G25" s="813">
        <f t="shared" si="3"/>
        <v>2802</v>
      </c>
      <c r="H25" s="814">
        <f t="shared" si="4"/>
        <v>0</v>
      </c>
      <c r="I25" s="816">
        <v>31550</v>
      </c>
      <c r="J25" s="812">
        <f>ROUND(I25*J7,0)</f>
        <v>22686</v>
      </c>
      <c r="K25" s="812">
        <f>ROUND(I25*K7,0)</f>
        <v>19985</v>
      </c>
      <c r="L25" s="812">
        <f t="shared" si="5"/>
        <v>2701</v>
      </c>
      <c r="M25" s="812">
        <f t="shared" si="6"/>
        <v>8103</v>
      </c>
      <c r="N25" s="813">
        <f t="shared" si="0"/>
        <v>8103</v>
      </c>
      <c r="O25" s="821">
        <f t="shared" si="7"/>
        <v>0</v>
      </c>
      <c r="P25" s="841"/>
    </row>
    <row r="26" spans="2:16" ht="15">
      <c r="B26" s="823">
        <v>11200</v>
      </c>
      <c r="C26" s="812">
        <f>ROUND(B26*C7,0)</f>
        <v>8053</v>
      </c>
      <c r="D26" s="812">
        <f>ROUND(B26*D7,0)</f>
        <v>7095</v>
      </c>
      <c r="E26" s="812">
        <f t="shared" si="1"/>
        <v>958</v>
      </c>
      <c r="F26" s="812">
        <f t="shared" si="2"/>
        <v>2874</v>
      </c>
      <c r="G26" s="813">
        <f t="shared" si="3"/>
        <v>2874</v>
      </c>
      <c r="H26" s="814">
        <f t="shared" si="4"/>
        <v>0</v>
      </c>
      <c r="I26" s="816">
        <v>32350</v>
      </c>
      <c r="J26" s="812">
        <f>ROUND(I26*J7,0)</f>
        <v>23261</v>
      </c>
      <c r="K26" s="812">
        <f>ROUND(I26*K7,0)</f>
        <v>20492</v>
      </c>
      <c r="L26" s="812">
        <f t="shared" si="5"/>
        <v>2769</v>
      </c>
      <c r="M26" s="812">
        <f t="shared" si="6"/>
        <v>8307</v>
      </c>
      <c r="N26" s="813">
        <f t="shared" si="0"/>
        <v>8307</v>
      </c>
      <c r="O26" s="821">
        <f t="shared" si="7"/>
        <v>0</v>
      </c>
      <c r="P26" s="841"/>
    </row>
    <row r="27" spans="2:16" ht="15">
      <c r="B27" s="823">
        <v>11530</v>
      </c>
      <c r="C27" s="812">
        <f>ROUND(B27*C7,0)</f>
        <v>8291</v>
      </c>
      <c r="D27" s="812">
        <f>ROUND(B27*D7,0)</f>
        <v>7304</v>
      </c>
      <c r="E27" s="812">
        <f t="shared" si="1"/>
        <v>987</v>
      </c>
      <c r="F27" s="812">
        <f t="shared" si="2"/>
        <v>2961</v>
      </c>
      <c r="G27" s="813">
        <f t="shared" si="3"/>
        <v>2961</v>
      </c>
      <c r="H27" s="814">
        <f t="shared" si="4"/>
        <v>0</v>
      </c>
      <c r="I27" s="816">
        <v>33200</v>
      </c>
      <c r="J27" s="812">
        <f>ROUND(I27*J7,0)</f>
        <v>23872</v>
      </c>
      <c r="K27" s="812">
        <f>ROUND(I27*K7,0)</f>
        <v>21030</v>
      </c>
      <c r="L27" s="812">
        <f t="shared" si="5"/>
        <v>2842</v>
      </c>
      <c r="M27" s="812">
        <f t="shared" si="6"/>
        <v>8526</v>
      </c>
      <c r="N27" s="813">
        <f t="shared" si="0"/>
        <v>8526</v>
      </c>
      <c r="O27" s="821">
        <f t="shared" si="7"/>
        <v>0</v>
      </c>
      <c r="P27" s="841"/>
    </row>
    <row r="28" spans="2:16" ht="15">
      <c r="B28" s="823">
        <v>11860</v>
      </c>
      <c r="C28" s="812">
        <f>ROUND(B28*C7,0)</f>
        <v>8528</v>
      </c>
      <c r="D28" s="812">
        <f>ROUND(B28*D7,0)</f>
        <v>7513</v>
      </c>
      <c r="E28" s="812">
        <f t="shared" si="1"/>
        <v>1015</v>
      </c>
      <c r="F28" s="812">
        <f t="shared" si="2"/>
        <v>3045</v>
      </c>
      <c r="G28" s="813">
        <f t="shared" si="3"/>
        <v>3045</v>
      </c>
      <c r="H28" s="814">
        <f t="shared" si="4"/>
        <v>0</v>
      </c>
      <c r="I28" s="816">
        <v>34050</v>
      </c>
      <c r="J28" s="812">
        <f>ROUND(I28*J7,0)</f>
        <v>24483</v>
      </c>
      <c r="K28" s="812">
        <f>ROUND(I28*K7,0)</f>
        <v>21569</v>
      </c>
      <c r="L28" s="812">
        <f t="shared" si="5"/>
        <v>2914</v>
      </c>
      <c r="M28" s="812">
        <f t="shared" si="6"/>
        <v>8742</v>
      </c>
      <c r="N28" s="813">
        <f t="shared" si="0"/>
        <v>8742</v>
      </c>
      <c r="O28" s="821">
        <f t="shared" si="7"/>
        <v>0</v>
      </c>
      <c r="P28" s="841"/>
    </row>
    <row r="29" spans="2:16" ht="15">
      <c r="B29" s="823">
        <v>12190</v>
      </c>
      <c r="C29" s="812">
        <f>ROUND(B29*C7,0)</f>
        <v>8765</v>
      </c>
      <c r="D29" s="812">
        <f>ROUND(B29*D7,0)</f>
        <v>7722</v>
      </c>
      <c r="E29" s="812">
        <f t="shared" si="1"/>
        <v>1043</v>
      </c>
      <c r="F29" s="812">
        <f t="shared" si="2"/>
        <v>3129</v>
      </c>
      <c r="G29" s="813">
        <f t="shared" si="3"/>
        <v>3129</v>
      </c>
      <c r="H29" s="814">
        <f t="shared" si="4"/>
        <v>0</v>
      </c>
      <c r="I29" s="816">
        <v>34900</v>
      </c>
      <c r="J29" s="812">
        <f>ROUND(I29*J7,0)</f>
        <v>25094</v>
      </c>
      <c r="K29" s="812">
        <f>ROUND(I29*K7,0)</f>
        <v>22107</v>
      </c>
      <c r="L29" s="812">
        <f t="shared" si="5"/>
        <v>2987</v>
      </c>
      <c r="M29" s="812">
        <f t="shared" si="6"/>
        <v>8961</v>
      </c>
      <c r="N29" s="813">
        <f t="shared" si="0"/>
        <v>8961</v>
      </c>
      <c r="O29" s="821">
        <f t="shared" si="7"/>
        <v>0</v>
      </c>
      <c r="P29" s="841"/>
    </row>
    <row r="30" spans="2:16" ht="15">
      <c r="B30" s="823">
        <v>12550</v>
      </c>
      <c r="C30" s="812">
        <f>ROUND(B30*C7,0)</f>
        <v>9024</v>
      </c>
      <c r="D30" s="812">
        <f>ROUND(B30*D7,0)</f>
        <v>7950</v>
      </c>
      <c r="E30" s="812">
        <f t="shared" si="1"/>
        <v>1074</v>
      </c>
      <c r="F30" s="812">
        <f t="shared" si="2"/>
        <v>3222</v>
      </c>
      <c r="G30" s="813">
        <f t="shared" si="3"/>
        <v>3222</v>
      </c>
      <c r="H30" s="814">
        <f t="shared" si="4"/>
        <v>0</v>
      </c>
      <c r="I30" s="816">
        <v>35800</v>
      </c>
      <c r="J30" s="812">
        <f>ROUND(I30*J7,0)</f>
        <v>25742</v>
      </c>
      <c r="K30" s="812">
        <f>ROUND(I30*K7,0)</f>
        <v>22677</v>
      </c>
      <c r="L30" s="812">
        <f t="shared" si="5"/>
        <v>3065</v>
      </c>
      <c r="M30" s="812">
        <f t="shared" si="6"/>
        <v>9195</v>
      </c>
      <c r="N30" s="813">
        <f t="shared" si="0"/>
        <v>9195</v>
      </c>
      <c r="O30" s="821">
        <f t="shared" si="7"/>
        <v>0</v>
      </c>
      <c r="P30" s="841"/>
    </row>
    <row r="31" spans="2:16" ht="15">
      <c r="B31" s="823">
        <v>12910</v>
      </c>
      <c r="C31" s="812">
        <f>ROUND(B31*C7,0)</f>
        <v>9283</v>
      </c>
      <c r="D31" s="812">
        <f>ROUND(B31*D7,0)</f>
        <v>8178</v>
      </c>
      <c r="E31" s="812">
        <f t="shared" si="1"/>
        <v>1105</v>
      </c>
      <c r="F31" s="812">
        <f t="shared" si="2"/>
        <v>3315</v>
      </c>
      <c r="G31" s="813">
        <f t="shared" si="3"/>
        <v>3315</v>
      </c>
      <c r="H31" s="814">
        <f t="shared" si="4"/>
        <v>0</v>
      </c>
      <c r="I31" s="816">
        <v>36700</v>
      </c>
      <c r="J31" s="812">
        <f>ROUND(I31*J7,0)</f>
        <v>26389</v>
      </c>
      <c r="K31" s="812">
        <f>ROUND(I31*K7,0)</f>
        <v>23247</v>
      </c>
      <c r="L31" s="812">
        <f t="shared" si="5"/>
        <v>3142</v>
      </c>
      <c r="M31" s="812">
        <f t="shared" si="6"/>
        <v>9426</v>
      </c>
      <c r="N31" s="813">
        <f t="shared" si="0"/>
        <v>9426</v>
      </c>
      <c r="O31" s="821">
        <f t="shared" si="7"/>
        <v>0</v>
      </c>
      <c r="P31" s="841"/>
    </row>
    <row r="32" spans="2:16" ht="15">
      <c r="B32" s="823">
        <v>13270</v>
      </c>
      <c r="C32" s="812">
        <f>ROUND(B32*C7,0)</f>
        <v>9542</v>
      </c>
      <c r="D32" s="812">
        <f>ROUND(B32*D7,0)</f>
        <v>8406</v>
      </c>
      <c r="E32" s="812">
        <f t="shared" si="1"/>
        <v>1136</v>
      </c>
      <c r="F32" s="812">
        <f t="shared" si="2"/>
        <v>3408</v>
      </c>
      <c r="G32" s="813">
        <f t="shared" si="3"/>
        <v>3408</v>
      </c>
      <c r="H32" s="814">
        <f t="shared" si="4"/>
        <v>0</v>
      </c>
      <c r="I32" s="816">
        <v>37600</v>
      </c>
      <c r="J32" s="812">
        <f>ROUND(I32*J7,0)</f>
        <v>27036</v>
      </c>
      <c r="K32" s="812">
        <f>ROUND(I32*K7,0)</f>
        <v>23817</v>
      </c>
      <c r="L32" s="812">
        <f t="shared" si="5"/>
        <v>3219</v>
      </c>
      <c r="M32" s="812">
        <f t="shared" si="6"/>
        <v>9657</v>
      </c>
      <c r="N32" s="813">
        <f t="shared" si="0"/>
        <v>9657</v>
      </c>
      <c r="O32" s="821">
        <f t="shared" si="7"/>
        <v>0</v>
      </c>
      <c r="P32" s="841"/>
    </row>
    <row r="33" spans="2:16" ht="15">
      <c r="B33" s="823">
        <v>13660</v>
      </c>
      <c r="C33" s="812">
        <f>ROUND(B33*C7,0)</f>
        <v>9822</v>
      </c>
      <c r="D33" s="812">
        <f>ROUND(B33*D7,0)</f>
        <v>8653</v>
      </c>
      <c r="E33" s="812">
        <f t="shared" si="1"/>
        <v>1169</v>
      </c>
      <c r="F33" s="812">
        <f t="shared" si="2"/>
        <v>3507</v>
      </c>
      <c r="G33" s="813">
        <f t="shared" si="3"/>
        <v>3507</v>
      </c>
      <c r="H33" s="814">
        <f t="shared" si="4"/>
        <v>0</v>
      </c>
      <c r="I33" s="816">
        <v>38570</v>
      </c>
      <c r="J33" s="812">
        <f>ROUND(I33*J7,0)</f>
        <v>27733</v>
      </c>
      <c r="K33" s="812">
        <f>ROUND(I33*K7,0)</f>
        <v>24432</v>
      </c>
      <c r="L33" s="812">
        <f t="shared" si="5"/>
        <v>3301</v>
      </c>
      <c r="M33" s="812">
        <f t="shared" si="6"/>
        <v>9903</v>
      </c>
      <c r="N33" s="813">
        <f t="shared" si="0"/>
        <v>9903</v>
      </c>
      <c r="O33" s="821">
        <f t="shared" si="7"/>
        <v>0</v>
      </c>
      <c r="P33" s="841"/>
    </row>
    <row r="34" spans="2:16" ht="15">
      <c r="B34" s="823">
        <v>14050</v>
      </c>
      <c r="C34" s="812">
        <f>ROUND(B34*C7,0)</f>
        <v>10103</v>
      </c>
      <c r="D34" s="812">
        <f>ROUND(B34*D7,0)</f>
        <v>8900</v>
      </c>
      <c r="E34" s="812">
        <f t="shared" si="1"/>
        <v>1203</v>
      </c>
      <c r="F34" s="812">
        <f t="shared" si="2"/>
        <v>3609</v>
      </c>
      <c r="G34" s="813">
        <f t="shared" si="3"/>
        <v>3609</v>
      </c>
      <c r="H34" s="814">
        <f t="shared" si="4"/>
        <v>0</v>
      </c>
      <c r="I34" s="816">
        <v>39540</v>
      </c>
      <c r="J34" s="812">
        <f>ROUND(I34*J7,0)</f>
        <v>28431</v>
      </c>
      <c r="K34" s="812">
        <f>ROUND(I34*K7,0)</f>
        <v>25046</v>
      </c>
      <c r="L34" s="812">
        <f t="shared" si="5"/>
        <v>3385</v>
      </c>
      <c r="M34" s="812">
        <f t="shared" si="6"/>
        <v>10155</v>
      </c>
      <c r="N34" s="813">
        <f t="shared" si="0"/>
        <v>10155</v>
      </c>
      <c r="O34" s="821">
        <f t="shared" si="7"/>
        <v>0</v>
      </c>
      <c r="P34" s="841"/>
    </row>
    <row r="35" spans="2:16" ht="15">
      <c r="B35" s="823">
        <v>14440</v>
      </c>
      <c r="C35" s="812">
        <f>ROUND(B35*C7,0)</f>
        <v>10383</v>
      </c>
      <c r="D35" s="812">
        <f>ROUND(B35*D7,0)</f>
        <v>9147</v>
      </c>
      <c r="E35" s="812">
        <f t="shared" si="1"/>
        <v>1236</v>
      </c>
      <c r="F35" s="812">
        <f t="shared" si="2"/>
        <v>3708</v>
      </c>
      <c r="G35" s="813">
        <f t="shared" si="3"/>
        <v>3708</v>
      </c>
      <c r="H35" s="814">
        <f t="shared" si="4"/>
        <v>0</v>
      </c>
      <c r="I35" s="816">
        <v>40510</v>
      </c>
      <c r="J35" s="812">
        <f>ROUND(I35*J7,0)</f>
        <v>29128</v>
      </c>
      <c r="K35" s="812">
        <f>ROUND(I35*K7,0)</f>
        <v>25661</v>
      </c>
      <c r="L35" s="812">
        <f t="shared" si="5"/>
        <v>3467</v>
      </c>
      <c r="M35" s="812">
        <f t="shared" si="6"/>
        <v>10401</v>
      </c>
      <c r="N35" s="813">
        <f t="shared" si="0"/>
        <v>10401</v>
      </c>
      <c r="O35" s="821">
        <f t="shared" si="7"/>
        <v>0</v>
      </c>
      <c r="P35" s="841"/>
    </row>
    <row r="36" spans="2:16" ht="15">
      <c r="B36" s="823">
        <v>14860</v>
      </c>
      <c r="C36" s="812">
        <f>ROUND(B36*C7,0)</f>
        <v>10685</v>
      </c>
      <c r="D36" s="812">
        <f>ROUND(B36*D7,0)</f>
        <v>9413</v>
      </c>
      <c r="E36" s="812">
        <f t="shared" si="1"/>
        <v>1272</v>
      </c>
      <c r="F36" s="812">
        <f t="shared" si="2"/>
        <v>3816</v>
      </c>
      <c r="G36" s="813">
        <f t="shared" si="3"/>
        <v>3816</v>
      </c>
      <c r="H36" s="814">
        <f t="shared" si="4"/>
        <v>0</v>
      </c>
      <c r="I36" s="816">
        <v>41550</v>
      </c>
      <c r="J36" s="812">
        <f>ROUND(I36*J7,0)</f>
        <v>29876</v>
      </c>
      <c r="K36" s="812">
        <f>ROUND(I36*K7,0)</f>
        <v>26319</v>
      </c>
      <c r="L36" s="812">
        <f t="shared" si="5"/>
        <v>3557</v>
      </c>
      <c r="M36" s="812">
        <f t="shared" si="6"/>
        <v>10671</v>
      </c>
      <c r="N36" s="813">
        <f t="shared" si="0"/>
        <v>10671</v>
      </c>
      <c r="O36" s="821">
        <f t="shared" si="7"/>
        <v>0</v>
      </c>
      <c r="P36" s="841"/>
    </row>
    <row r="37" spans="2:16" ht="15">
      <c r="B37" s="823">
        <v>15280</v>
      </c>
      <c r="C37" s="812">
        <f>ROUND(B37*C7,0)</f>
        <v>10987</v>
      </c>
      <c r="D37" s="812">
        <f>ROUND(B37*D7,0)</f>
        <v>9679</v>
      </c>
      <c r="E37" s="812">
        <f t="shared" si="1"/>
        <v>1308</v>
      </c>
      <c r="F37" s="812">
        <f t="shared" si="2"/>
        <v>3924</v>
      </c>
      <c r="G37" s="813">
        <f t="shared" si="3"/>
        <v>3924</v>
      </c>
      <c r="H37" s="814">
        <f t="shared" si="4"/>
        <v>0</v>
      </c>
      <c r="I37" s="816">
        <v>42590</v>
      </c>
      <c r="J37" s="812">
        <f>ROUND(I37*J7,0)</f>
        <v>30624</v>
      </c>
      <c r="K37" s="812">
        <f>ROUND(I37*K7,0)</f>
        <v>26978</v>
      </c>
      <c r="L37" s="812">
        <f t="shared" si="5"/>
        <v>3646</v>
      </c>
      <c r="M37" s="812">
        <f t="shared" si="6"/>
        <v>10938</v>
      </c>
      <c r="N37" s="813">
        <f t="shared" si="0"/>
        <v>10938</v>
      </c>
      <c r="O37" s="821">
        <f t="shared" si="7"/>
        <v>0</v>
      </c>
      <c r="P37" s="841"/>
    </row>
    <row r="38" spans="2:16" ht="15">
      <c r="B38" s="823">
        <v>15700</v>
      </c>
      <c r="C38" s="812">
        <f>ROUND(B38*C7,0)</f>
        <v>11289</v>
      </c>
      <c r="D38" s="812">
        <f>ROUND(B38*D7,0)</f>
        <v>9945</v>
      </c>
      <c r="E38" s="812">
        <f t="shared" si="1"/>
        <v>1344</v>
      </c>
      <c r="F38" s="812">
        <f t="shared" si="2"/>
        <v>4032</v>
      </c>
      <c r="G38" s="813">
        <f t="shared" si="3"/>
        <v>4032</v>
      </c>
      <c r="H38" s="814">
        <f t="shared" si="4"/>
        <v>0</v>
      </c>
      <c r="I38" s="816">
        <v>43630</v>
      </c>
      <c r="J38" s="812">
        <f>ROUND(I38*J7,0)</f>
        <v>31372</v>
      </c>
      <c r="K38" s="812">
        <f>ROUND(I38*K7,0)</f>
        <v>27637</v>
      </c>
      <c r="L38" s="812">
        <f t="shared" si="5"/>
        <v>3735</v>
      </c>
      <c r="M38" s="812">
        <f t="shared" si="6"/>
        <v>11205</v>
      </c>
      <c r="N38" s="813">
        <f t="shared" si="0"/>
        <v>11205</v>
      </c>
      <c r="O38" s="821">
        <f t="shared" si="7"/>
        <v>0</v>
      </c>
      <c r="P38" s="841"/>
    </row>
    <row r="39" spans="2:16" ht="15">
      <c r="B39" s="823">
        <v>16150</v>
      </c>
      <c r="C39" s="812">
        <f>ROUND(B39*C7,0)</f>
        <v>11612</v>
      </c>
      <c r="D39" s="812">
        <f>ROUND(B39*D7,0)</f>
        <v>10230</v>
      </c>
      <c r="E39" s="812">
        <f t="shared" si="1"/>
        <v>1382</v>
      </c>
      <c r="F39" s="812">
        <f t="shared" si="2"/>
        <v>4146</v>
      </c>
      <c r="G39" s="813">
        <f t="shared" si="3"/>
        <v>4146</v>
      </c>
      <c r="H39" s="814">
        <f t="shared" si="4"/>
        <v>0</v>
      </c>
      <c r="I39" s="816">
        <v>44740</v>
      </c>
      <c r="J39" s="812">
        <f>ROUND(I39*J7,0)</f>
        <v>32170</v>
      </c>
      <c r="K39" s="812">
        <f>ROUND(I39*K7,0)</f>
        <v>28340</v>
      </c>
      <c r="L39" s="812">
        <f t="shared" si="5"/>
        <v>3830</v>
      </c>
      <c r="M39" s="812">
        <f t="shared" si="6"/>
        <v>11490</v>
      </c>
      <c r="N39" s="813">
        <f t="shared" si="0"/>
        <v>11490</v>
      </c>
      <c r="O39" s="821">
        <f t="shared" si="7"/>
        <v>0</v>
      </c>
      <c r="P39" s="841"/>
    </row>
    <row r="40" spans="2:16" ht="15">
      <c r="B40" s="823">
        <v>16600</v>
      </c>
      <c r="C40" s="812">
        <f>ROUND(B40*C7,0)</f>
        <v>11936</v>
      </c>
      <c r="D40" s="812">
        <f>ROUND(B40*D7,0)</f>
        <v>10515</v>
      </c>
      <c r="E40" s="812">
        <f t="shared" si="1"/>
        <v>1421</v>
      </c>
      <c r="F40" s="812">
        <f t="shared" si="2"/>
        <v>4263</v>
      </c>
      <c r="G40" s="813">
        <f t="shared" si="3"/>
        <v>4263</v>
      </c>
      <c r="H40" s="814">
        <f t="shared" si="4"/>
        <v>0</v>
      </c>
      <c r="I40" s="816">
        <v>45850</v>
      </c>
      <c r="J40" s="812">
        <f>ROUND(I40*J7,0)</f>
        <v>32968</v>
      </c>
      <c r="K40" s="812">
        <f>ROUND(I40*K7,0)</f>
        <v>29043</v>
      </c>
      <c r="L40" s="812">
        <f t="shared" si="5"/>
        <v>3925</v>
      </c>
      <c r="M40" s="812">
        <f t="shared" si="6"/>
        <v>11775</v>
      </c>
      <c r="N40" s="813">
        <f t="shared" si="0"/>
        <v>11775</v>
      </c>
      <c r="O40" s="821">
        <f t="shared" si="7"/>
        <v>0</v>
      </c>
      <c r="P40" s="841"/>
    </row>
    <row r="41" spans="2:16" ht="15">
      <c r="B41" s="823">
        <v>17050</v>
      </c>
      <c r="C41" s="812">
        <f>ROUND(B41*C7,0)</f>
        <v>12260</v>
      </c>
      <c r="D41" s="812">
        <f>ROUND(B41*D7,0)</f>
        <v>10800</v>
      </c>
      <c r="E41" s="812">
        <f t="shared" si="1"/>
        <v>1460</v>
      </c>
      <c r="F41" s="812">
        <f t="shared" si="2"/>
        <v>4380</v>
      </c>
      <c r="G41" s="813">
        <f t="shared" si="3"/>
        <v>4380</v>
      </c>
      <c r="H41" s="814">
        <f t="shared" si="4"/>
        <v>0</v>
      </c>
      <c r="I41" s="816">
        <v>46960</v>
      </c>
      <c r="J41" s="812">
        <f>ROUND(I41*J7,0)</f>
        <v>33766</v>
      </c>
      <c r="K41" s="812">
        <f>ROUND(I41*K7,0)</f>
        <v>29746</v>
      </c>
      <c r="L41" s="812">
        <f t="shared" si="5"/>
        <v>4020</v>
      </c>
      <c r="M41" s="812">
        <f t="shared" si="6"/>
        <v>12060</v>
      </c>
      <c r="N41" s="813">
        <f t="shared" si="0"/>
        <v>12060</v>
      </c>
      <c r="O41" s="821">
        <f t="shared" si="7"/>
        <v>0</v>
      </c>
      <c r="P41" s="841"/>
    </row>
    <row r="42" spans="2:16" ht="15">
      <c r="B42" s="823">
        <v>17540</v>
      </c>
      <c r="C42" s="812">
        <f>ROUND(B42*C7,0)</f>
        <v>12612</v>
      </c>
      <c r="D42" s="812">
        <f>ROUND(B42*D7,0)</f>
        <v>11111</v>
      </c>
      <c r="E42" s="812">
        <f t="shared" si="1"/>
        <v>1501</v>
      </c>
      <c r="F42" s="812">
        <f t="shared" si="2"/>
        <v>4503</v>
      </c>
      <c r="G42" s="813">
        <f t="shared" si="3"/>
        <v>4503</v>
      </c>
      <c r="H42" s="814">
        <f t="shared" si="4"/>
        <v>0</v>
      </c>
      <c r="I42" s="816">
        <v>48160</v>
      </c>
      <c r="J42" s="812">
        <f>ROUND(I42*J7,0)</f>
        <v>34629</v>
      </c>
      <c r="K42" s="812">
        <f>ROUND(I42*K7,0)</f>
        <v>30506</v>
      </c>
      <c r="L42" s="812">
        <f t="shared" si="5"/>
        <v>4123</v>
      </c>
      <c r="M42" s="812">
        <f t="shared" si="6"/>
        <v>12369</v>
      </c>
      <c r="N42" s="813">
        <f t="shared" si="0"/>
        <v>12369</v>
      </c>
      <c r="O42" s="821">
        <f t="shared" si="7"/>
        <v>0</v>
      </c>
      <c r="P42" s="841"/>
    </row>
    <row r="43" spans="2:16" ht="15">
      <c r="B43" s="823">
        <v>18030</v>
      </c>
      <c r="C43" s="812">
        <f>ROUND(B43*C7,0)</f>
        <v>12964</v>
      </c>
      <c r="D43" s="812">
        <f>ROUND(B43*D7,0)</f>
        <v>11421</v>
      </c>
      <c r="E43" s="812">
        <f t="shared" si="1"/>
        <v>1543</v>
      </c>
      <c r="F43" s="812">
        <f t="shared" si="2"/>
        <v>4629</v>
      </c>
      <c r="G43" s="813">
        <f t="shared" si="3"/>
        <v>4629</v>
      </c>
      <c r="H43" s="814">
        <f t="shared" si="4"/>
        <v>0</v>
      </c>
      <c r="I43" s="816">
        <v>49360</v>
      </c>
      <c r="J43" s="812">
        <f>ROUND(I43*J7,0)</f>
        <v>35492</v>
      </c>
      <c r="K43" s="812">
        <f>ROUND(I43*K7,0)</f>
        <v>31267</v>
      </c>
      <c r="L43" s="812">
        <f t="shared" si="5"/>
        <v>4225</v>
      </c>
      <c r="M43" s="812">
        <f t="shared" si="6"/>
        <v>12675</v>
      </c>
      <c r="N43" s="813">
        <f t="shared" si="0"/>
        <v>12675</v>
      </c>
      <c r="O43" s="821">
        <f t="shared" si="7"/>
        <v>0</v>
      </c>
      <c r="P43" s="841"/>
    </row>
    <row r="44" spans="2:16" ht="15">
      <c r="B44" s="823">
        <v>18520</v>
      </c>
      <c r="C44" s="812">
        <f>ROUND(B44*C7,0)</f>
        <v>13317</v>
      </c>
      <c r="D44" s="812">
        <f>ROUND(B44*D7,0)</f>
        <v>11731</v>
      </c>
      <c r="E44" s="812">
        <f t="shared" si="1"/>
        <v>1586</v>
      </c>
      <c r="F44" s="812">
        <f t="shared" si="2"/>
        <v>4758</v>
      </c>
      <c r="G44" s="813">
        <f t="shared" si="3"/>
        <v>4758</v>
      </c>
      <c r="H44" s="814">
        <f t="shared" si="4"/>
        <v>0</v>
      </c>
      <c r="I44" s="816">
        <v>50560</v>
      </c>
      <c r="J44" s="812">
        <f>ROUND(I44*J7,0)</f>
        <v>36355</v>
      </c>
      <c r="K44" s="812">
        <f>ROUND(I44*K7,0)</f>
        <v>32027</v>
      </c>
      <c r="L44" s="812">
        <f t="shared" si="5"/>
        <v>4328</v>
      </c>
      <c r="M44" s="812">
        <f t="shared" si="6"/>
        <v>12984</v>
      </c>
      <c r="N44" s="813">
        <f t="shared" si="0"/>
        <v>12984</v>
      </c>
      <c r="O44" s="821">
        <f t="shared" si="7"/>
        <v>0</v>
      </c>
      <c r="P44" s="841"/>
    </row>
    <row r="45" spans="2:16" ht="15">
      <c r="B45" s="823">
        <v>19050</v>
      </c>
      <c r="C45" s="812">
        <f>ROUND(B45*C7,0)</f>
        <v>13698</v>
      </c>
      <c r="D45" s="812">
        <f>ROUND(B45*D7,0)</f>
        <v>12067</v>
      </c>
      <c r="E45" s="812">
        <f t="shared" si="1"/>
        <v>1631</v>
      </c>
      <c r="F45" s="812">
        <f t="shared" si="2"/>
        <v>4893</v>
      </c>
      <c r="G45" s="813">
        <f t="shared" si="3"/>
        <v>4893</v>
      </c>
      <c r="H45" s="814">
        <f t="shared" si="4"/>
        <v>0</v>
      </c>
      <c r="I45" s="816">
        <v>51760</v>
      </c>
      <c r="J45" s="812">
        <f>ROUND(I45*J7,0)</f>
        <v>37218</v>
      </c>
      <c r="K45" s="812">
        <f>ROUND(I45*K7,0)</f>
        <v>32787</v>
      </c>
      <c r="L45" s="812">
        <f t="shared" si="5"/>
        <v>4431</v>
      </c>
      <c r="M45" s="812">
        <f t="shared" si="6"/>
        <v>13293</v>
      </c>
      <c r="N45" s="813">
        <f t="shared" si="0"/>
        <v>13293</v>
      </c>
      <c r="O45" s="821">
        <f t="shared" si="7"/>
        <v>0</v>
      </c>
      <c r="P45" s="841"/>
    </row>
    <row r="46" spans="2:16" ht="15.75" thickBot="1">
      <c r="B46" s="824">
        <v>19580</v>
      </c>
      <c r="C46" s="817">
        <f>ROUND(B46*C7,0)</f>
        <v>14079</v>
      </c>
      <c r="D46" s="817">
        <f>ROUND(B46*D7,0)</f>
        <v>12403</v>
      </c>
      <c r="E46" s="817">
        <f t="shared" si="1"/>
        <v>1676</v>
      </c>
      <c r="F46" s="817">
        <f t="shared" si="2"/>
        <v>5028</v>
      </c>
      <c r="G46" s="813">
        <f t="shared" si="3"/>
        <v>5028</v>
      </c>
      <c r="H46" s="814">
        <f t="shared" si="4"/>
        <v>0</v>
      </c>
      <c r="I46" s="818">
        <v>53060</v>
      </c>
      <c r="J46" s="817">
        <f>ROUND(I46*J7,0)</f>
        <v>38152</v>
      </c>
      <c r="K46" s="817">
        <f>ROUND(I46*K7,0)</f>
        <v>33610</v>
      </c>
      <c r="L46" s="817">
        <f t="shared" si="5"/>
        <v>4542</v>
      </c>
      <c r="M46" s="817">
        <f t="shared" si="6"/>
        <v>13626</v>
      </c>
      <c r="N46" s="813">
        <f t="shared" si="0"/>
        <v>13626</v>
      </c>
      <c r="O46" s="821">
        <f t="shared" si="7"/>
        <v>0</v>
      </c>
      <c r="P46" s="841"/>
    </row>
    <row r="47" spans="2:16" ht="16.5" thickBot="1">
      <c r="B47" s="1307" t="s">
        <v>823</v>
      </c>
      <c r="C47" s="1308"/>
      <c r="D47" s="1308"/>
      <c r="E47" s="1308"/>
      <c r="F47" s="1308"/>
      <c r="G47" s="1308"/>
      <c r="H47" s="1308"/>
      <c r="I47" s="1308"/>
      <c r="J47" s="1308"/>
      <c r="K47" s="1308"/>
      <c r="L47" s="1308"/>
      <c r="M47" s="1308"/>
      <c r="N47" s="1308"/>
      <c r="O47" s="1309"/>
      <c r="P47" s="841"/>
    </row>
    <row r="48" spans="2:16" ht="18.75" thickBot="1">
      <c r="B48" s="1310" t="s">
        <v>824</v>
      </c>
      <c r="C48" s="1311"/>
      <c r="D48" s="1311"/>
      <c r="E48" s="1311"/>
      <c r="F48" s="1311"/>
      <c r="G48" s="1311"/>
      <c r="H48" s="1311"/>
      <c r="I48" s="1311"/>
      <c r="J48" s="1311"/>
      <c r="K48" s="1311"/>
      <c r="L48" s="1311"/>
      <c r="M48" s="1311"/>
      <c r="N48" s="1311"/>
      <c r="O48" s="1312"/>
      <c r="P48" s="842"/>
    </row>
    <row r="49" ht="13.5" thickTop="1"/>
  </sheetData>
  <sheetProtection password="DE92" sheet="1" objects="1" scenarios="1" selectLockedCells="1"/>
  <mergeCells count="18">
    <mergeCell ref="B2:P2"/>
    <mergeCell ref="B47:O47"/>
    <mergeCell ref="B48:O48"/>
    <mergeCell ref="B5:D5"/>
    <mergeCell ref="E5:F5"/>
    <mergeCell ref="I5:J5"/>
    <mergeCell ref="K5:L5"/>
    <mergeCell ref="B6:B7"/>
    <mergeCell ref="I6:I7"/>
    <mergeCell ref="K3:P3"/>
    <mergeCell ref="N5:P5"/>
    <mergeCell ref="B3:D3"/>
    <mergeCell ref="E3:H3"/>
    <mergeCell ref="I3:J3"/>
    <mergeCell ref="B4:D4"/>
    <mergeCell ref="E4:F4"/>
    <mergeCell ref="H4:I4"/>
    <mergeCell ref="M4:O4"/>
  </mergeCells>
  <printOptions/>
  <pageMargins left="0.51" right="0.32" top="0.34" bottom="0.21" header="0.28" footer="0.14"/>
  <pageSetup horizontalDpi="300" verticalDpi="300" orientation="portrait" r:id="rId3"/>
  <ignoredErrors>
    <ignoredError sqref="L7" formula="1"/>
  </ignoredErrors>
  <legacyDrawing r:id="rId2"/>
</worksheet>
</file>

<file path=xl/worksheets/sheet8.xml><?xml version="1.0" encoding="utf-8"?>
<worksheet xmlns="http://schemas.openxmlformats.org/spreadsheetml/2006/main" xmlns:r="http://schemas.openxmlformats.org/officeDocument/2006/relationships">
  <sheetPr>
    <tabColor rgb="FF7030A0"/>
  </sheetPr>
  <dimension ref="B2:Z44"/>
  <sheetViews>
    <sheetView showGridLines="0" showRowColHeaders="0" zoomScalePageLayoutView="0" workbookViewId="0" topLeftCell="A1">
      <selection activeCell="E16" sqref="E16"/>
    </sheetView>
  </sheetViews>
  <sheetFormatPr defaultColWidth="9.421875" defaultRowHeight="12.75"/>
  <cols>
    <col min="1" max="1" width="9.421875" style="4" customWidth="1"/>
    <col min="2" max="2" width="8.7109375" style="4" customWidth="1"/>
    <col min="3" max="3" width="4.7109375" style="4" customWidth="1"/>
    <col min="4" max="12" width="7.7109375" style="4" customWidth="1"/>
    <col min="13" max="13" width="8.7109375" style="4" customWidth="1"/>
    <col min="14" max="14" width="9.421875" style="4" customWidth="1"/>
    <col min="15" max="15" width="13.7109375" style="4" customWidth="1"/>
    <col min="16" max="16384" width="9.421875" style="4" customWidth="1"/>
  </cols>
  <sheetData>
    <row r="1" ht="15.75" thickBot="1"/>
    <row r="2" spans="2:13" ht="30" customHeight="1" thickBot="1" thickTop="1">
      <c r="B2" s="137"/>
      <c r="C2" s="138"/>
      <c r="D2" s="138"/>
      <c r="E2" s="138"/>
      <c r="F2" s="139"/>
      <c r="G2" s="139"/>
      <c r="H2" s="139"/>
      <c r="I2" s="139"/>
      <c r="J2" s="139"/>
      <c r="K2" s="139"/>
      <c r="L2" s="139"/>
      <c r="M2" s="140"/>
    </row>
    <row r="3" spans="2:17" ht="15">
      <c r="B3" s="141"/>
      <c r="C3" s="122"/>
      <c r="D3" s="123"/>
      <c r="E3" s="123"/>
      <c r="F3" s="124"/>
      <c r="G3" s="124"/>
      <c r="H3" s="124"/>
      <c r="I3" s="124"/>
      <c r="J3" s="124"/>
      <c r="K3" s="124"/>
      <c r="L3" s="125"/>
      <c r="M3" s="142"/>
      <c r="O3" s="1324" t="s">
        <v>526</v>
      </c>
      <c r="P3" s="1325"/>
      <c r="Q3" s="1326"/>
    </row>
    <row r="4" spans="2:17" ht="15" customHeight="1" thickBot="1">
      <c r="B4" s="141"/>
      <c r="C4" s="1341" t="s">
        <v>502</v>
      </c>
      <c r="D4" s="1342"/>
      <c r="E4" s="1342"/>
      <c r="F4" s="1342"/>
      <c r="G4" s="1342"/>
      <c r="H4" s="1342"/>
      <c r="I4" s="1342"/>
      <c r="J4" s="1342"/>
      <c r="K4" s="1342"/>
      <c r="L4" s="1343"/>
      <c r="M4" s="142"/>
      <c r="O4" s="1327"/>
      <c r="P4" s="1328"/>
      <c r="Q4" s="1329"/>
    </row>
    <row r="5" spans="2:13" ht="15" customHeight="1" thickBot="1">
      <c r="B5" s="141"/>
      <c r="C5" s="1344" t="s">
        <v>503</v>
      </c>
      <c r="D5" s="1345"/>
      <c r="E5" s="1345"/>
      <c r="F5" s="1345"/>
      <c r="G5" s="1345"/>
      <c r="H5" s="1345"/>
      <c r="I5" s="1345"/>
      <c r="J5" s="1345"/>
      <c r="K5" s="1345"/>
      <c r="L5" s="1346"/>
      <c r="M5" s="142"/>
    </row>
    <row r="6" spans="2:18" ht="19.5" thickBot="1" thickTop="1">
      <c r="B6" s="141"/>
      <c r="C6" s="126"/>
      <c r="D6" s="116"/>
      <c r="E6" s="115"/>
      <c r="F6" s="3"/>
      <c r="G6" s="3"/>
      <c r="H6" s="3"/>
      <c r="I6" s="3"/>
      <c r="J6" s="3"/>
      <c r="K6" s="3"/>
      <c r="L6" s="127"/>
      <c r="M6" s="142"/>
      <c r="O6" s="1338" t="s">
        <v>520</v>
      </c>
      <c r="P6" s="1339"/>
      <c r="Q6" s="1340"/>
      <c r="R6" s="134"/>
    </row>
    <row r="7" spans="2:18" ht="16.5" thickBot="1">
      <c r="B7" s="141"/>
      <c r="C7" s="126"/>
      <c r="D7" s="116"/>
      <c r="E7" s="115"/>
      <c r="F7" s="3"/>
      <c r="G7" s="3"/>
      <c r="H7" s="3"/>
      <c r="I7" s="3"/>
      <c r="J7" s="3"/>
      <c r="K7" s="3"/>
      <c r="L7" s="127"/>
      <c r="M7" s="142"/>
      <c r="O7" s="164" t="s">
        <v>521</v>
      </c>
      <c r="P7" s="1331" t="s">
        <v>598</v>
      </c>
      <c r="Q7" s="1332"/>
      <c r="R7" s="120"/>
    </row>
    <row r="8" spans="2:17" ht="15.75" customHeight="1" thickBot="1">
      <c r="B8" s="141"/>
      <c r="C8" s="1350" t="str">
        <f>CONCATENATE("                         Received a House Rent Amount  sum of Rs ",DATA!BT234,"  (",DATA!BZ249,")"," towards the rent Rs. ",DATA!BT233,"  per month from  Apr-14  to  Mar-15 in respect of ",DATA!AY169," ",DATA!F8,", ","House No: ",'Rent Recept'!P7,", ",'Rent Recept'!P8,", ",'Rent Recept'!P9,", ",P10,"  (","Mandal",")",",  ",P11," (","Dt.",")",".")</f>
        <v>                         Received a House Rent Amount  sum of Rs 63600  (  Sixty Three Thousands Six Hundred  Rupees Only) towards the rent Rs. 5300  per month from  Apr-14  to  Mar-15 in respect of Sri. K.Chandra Sekhar Rao, House No: 2/564, Near : Bus Stand, Gooty, Gooty  (Mandal),  Anantapur (Dt.).</v>
      </c>
      <c r="D8" s="1351"/>
      <c r="E8" s="1351"/>
      <c r="F8" s="1351"/>
      <c r="G8" s="1351"/>
      <c r="H8" s="1351"/>
      <c r="I8" s="1351"/>
      <c r="J8" s="1351"/>
      <c r="K8" s="1351"/>
      <c r="L8" s="1352"/>
      <c r="M8" s="142"/>
      <c r="O8" s="164" t="s">
        <v>524</v>
      </c>
      <c r="P8" s="1333" t="s">
        <v>599</v>
      </c>
      <c r="Q8" s="1334"/>
    </row>
    <row r="9" spans="2:17" ht="15.75" customHeight="1" thickBot="1">
      <c r="B9" s="141"/>
      <c r="C9" s="1350"/>
      <c r="D9" s="1351"/>
      <c r="E9" s="1351"/>
      <c r="F9" s="1351"/>
      <c r="G9" s="1351"/>
      <c r="H9" s="1351"/>
      <c r="I9" s="1351"/>
      <c r="J9" s="1351"/>
      <c r="K9" s="1351"/>
      <c r="L9" s="1352"/>
      <c r="M9" s="142"/>
      <c r="O9" s="164" t="s">
        <v>525</v>
      </c>
      <c r="P9" s="1333" t="s">
        <v>522</v>
      </c>
      <c r="Q9" s="1334"/>
    </row>
    <row r="10" spans="2:17" ht="15.75" customHeight="1" thickBot="1">
      <c r="B10" s="141"/>
      <c r="C10" s="1350"/>
      <c r="D10" s="1351"/>
      <c r="E10" s="1351"/>
      <c r="F10" s="1351"/>
      <c r="G10" s="1351"/>
      <c r="H10" s="1351"/>
      <c r="I10" s="1351"/>
      <c r="J10" s="1351"/>
      <c r="K10" s="1351"/>
      <c r="L10" s="1352"/>
      <c r="M10" s="142"/>
      <c r="O10" s="164" t="s">
        <v>518</v>
      </c>
      <c r="P10" s="1333" t="s">
        <v>522</v>
      </c>
      <c r="Q10" s="1334"/>
    </row>
    <row r="11" spans="2:26" ht="15.75" customHeight="1" thickBot="1">
      <c r="B11" s="141"/>
      <c r="C11" s="1350"/>
      <c r="D11" s="1351"/>
      <c r="E11" s="1351"/>
      <c r="F11" s="1351"/>
      <c r="G11" s="1351"/>
      <c r="H11" s="1351"/>
      <c r="I11" s="1351"/>
      <c r="J11" s="1351"/>
      <c r="K11" s="1351"/>
      <c r="L11" s="1352"/>
      <c r="M11" s="142"/>
      <c r="O11" s="165" t="s">
        <v>519</v>
      </c>
      <c r="P11" s="1336" t="s">
        <v>523</v>
      </c>
      <c r="Q11" s="1337"/>
      <c r="S11" s="120"/>
      <c r="T11" s="120"/>
      <c r="U11" s="120"/>
      <c r="V11" s="120"/>
      <c r="W11" s="120"/>
      <c r="X11" s="120"/>
      <c r="Y11" s="120"/>
      <c r="Z11" s="120"/>
    </row>
    <row r="12" spans="2:26" ht="15" customHeight="1" thickTop="1">
      <c r="B12" s="141"/>
      <c r="C12" s="1350"/>
      <c r="D12" s="1351"/>
      <c r="E12" s="1351"/>
      <c r="F12" s="1351"/>
      <c r="G12" s="1351"/>
      <c r="H12" s="1351"/>
      <c r="I12" s="1351"/>
      <c r="J12" s="1351"/>
      <c r="K12" s="1351"/>
      <c r="L12" s="1352"/>
      <c r="M12" s="142"/>
      <c r="Q12" s="120"/>
      <c r="R12" s="120"/>
      <c r="S12" s="120"/>
      <c r="T12" s="120"/>
      <c r="U12" s="120"/>
      <c r="V12" s="120"/>
      <c r="W12" s="120"/>
      <c r="X12" s="120"/>
      <c r="Y12" s="120"/>
      <c r="Z12" s="120"/>
    </row>
    <row r="13" spans="2:26" ht="15" customHeight="1">
      <c r="B13" s="141"/>
      <c r="C13" s="1350"/>
      <c r="D13" s="1351"/>
      <c r="E13" s="1351"/>
      <c r="F13" s="1351"/>
      <c r="G13" s="1351"/>
      <c r="H13" s="1351"/>
      <c r="I13" s="1351"/>
      <c r="J13" s="1351"/>
      <c r="K13" s="1351"/>
      <c r="L13" s="1352"/>
      <c r="M13" s="142"/>
      <c r="S13" s="120"/>
      <c r="T13" s="120"/>
      <c r="U13" s="120"/>
      <c r="V13" s="120"/>
      <c r="W13" s="120"/>
      <c r="X13" s="120"/>
      <c r="Y13" s="120"/>
      <c r="Z13" s="120"/>
    </row>
    <row r="14" spans="2:26" ht="15" customHeight="1">
      <c r="B14" s="141"/>
      <c r="C14" s="1350"/>
      <c r="D14" s="1351"/>
      <c r="E14" s="1351"/>
      <c r="F14" s="1351"/>
      <c r="G14" s="1351"/>
      <c r="H14" s="1351"/>
      <c r="I14" s="1351"/>
      <c r="J14" s="1351"/>
      <c r="K14" s="1351"/>
      <c r="L14" s="1352"/>
      <c r="M14" s="142"/>
      <c r="S14" s="120"/>
      <c r="T14" s="120"/>
      <c r="U14" s="120"/>
      <c r="V14" s="120"/>
      <c r="W14" s="120"/>
      <c r="X14" s="120"/>
      <c r="Y14" s="120"/>
      <c r="Z14" s="120"/>
    </row>
    <row r="15" spans="2:26" ht="15" customHeight="1">
      <c r="B15" s="141"/>
      <c r="C15" s="126"/>
      <c r="D15" s="121"/>
      <c r="E15" s="121"/>
      <c r="F15" s="121"/>
      <c r="G15" s="121"/>
      <c r="H15" s="121"/>
      <c r="I15" s="121"/>
      <c r="J15" s="121"/>
      <c r="K15" s="121"/>
      <c r="L15" s="128"/>
      <c r="M15" s="142"/>
      <c r="S15" s="120"/>
      <c r="T15" s="120"/>
      <c r="U15" s="120"/>
      <c r="V15" s="120"/>
      <c r="W15" s="120"/>
      <c r="X15" s="120"/>
      <c r="Y15" s="120"/>
      <c r="Z15" s="120"/>
    </row>
    <row r="16" spans="2:13" ht="15" customHeight="1">
      <c r="B16" s="141"/>
      <c r="C16" s="126"/>
      <c r="D16" s="121"/>
      <c r="E16" s="121"/>
      <c r="F16" s="121"/>
      <c r="G16" s="121"/>
      <c r="H16" s="121"/>
      <c r="I16" s="121"/>
      <c r="J16" s="121"/>
      <c r="K16" s="121"/>
      <c r="L16" s="128"/>
      <c r="M16" s="142"/>
    </row>
    <row r="17" spans="2:13" ht="15" customHeight="1">
      <c r="B17" s="141"/>
      <c r="C17" s="129"/>
      <c r="D17" s="3"/>
      <c r="E17" s="115"/>
      <c r="F17" s="3"/>
      <c r="G17" s="3"/>
      <c r="H17" s="3"/>
      <c r="I17" s="3"/>
      <c r="J17" s="1330" t="s">
        <v>504</v>
      </c>
      <c r="K17" s="3"/>
      <c r="L17" s="127"/>
      <c r="M17" s="142"/>
    </row>
    <row r="18" spans="2:13" ht="15" customHeight="1">
      <c r="B18" s="141"/>
      <c r="C18" s="126"/>
      <c r="D18" s="117"/>
      <c r="E18" s="115"/>
      <c r="F18" s="3"/>
      <c r="G18" s="3"/>
      <c r="H18" s="3"/>
      <c r="I18" s="3"/>
      <c r="J18" s="1330"/>
      <c r="K18" s="3"/>
      <c r="L18" s="127"/>
      <c r="M18" s="142"/>
    </row>
    <row r="19" spans="2:13" ht="21.75" customHeight="1">
      <c r="B19" s="141"/>
      <c r="C19" s="126"/>
      <c r="D19" s="117"/>
      <c r="E19" s="115"/>
      <c r="F19" s="3"/>
      <c r="G19" s="3"/>
      <c r="H19" s="3"/>
      <c r="I19" s="3"/>
      <c r="J19" s="1330"/>
      <c r="K19" s="3"/>
      <c r="L19" s="127"/>
      <c r="M19" s="142"/>
    </row>
    <row r="20" spans="2:25" ht="15.75">
      <c r="B20" s="141"/>
      <c r="C20" s="126"/>
      <c r="D20" s="117"/>
      <c r="E20" s="115"/>
      <c r="F20" s="3"/>
      <c r="G20" s="3"/>
      <c r="H20" s="3"/>
      <c r="I20" s="3"/>
      <c r="J20" s="3"/>
      <c r="K20" s="118"/>
      <c r="L20" s="127"/>
      <c r="M20" s="142"/>
      <c r="P20" s="121"/>
      <c r="Q20" s="121"/>
      <c r="R20" s="121"/>
      <c r="S20" s="121"/>
      <c r="T20" s="121"/>
      <c r="U20" s="121"/>
      <c r="V20" s="121"/>
      <c r="W20" s="121"/>
      <c r="X20" s="121"/>
      <c r="Y20" s="121"/>
    </row>
    <row r="21" spans="2:25" ht="15.75">
      <c r="B21" s="141"/>
      <c r="C21" s="126"/>
      <c r="D21" s="117"/>
      <c r="E21" s="115"/>
      <c r="F21" s="3"/>
      <c r="G21" s="3"/>
      <c r="H21" s="3"/>
      <c r="I21" s="3"/>
      <c r="J21" s="3"/>
      <c r="K21" s="118"/>
      <c r="L21" s="127"/>
      <c r="M21" s="142"/>
      <c r="P21" s="121"/>
      <c r="Q21" s="121"/>
      <c r="R21" s="121"/>
      <c r="S21" s="121"/>
      <c r="T21" s="121"/>
      <c r="U21" s="121"/>
      <c r="V21" s="121"/>
      <c r="W21" s="121"/>
      <c r="X21" s="121"/>
      <c r="Y21" s="121"/>
    </row>
    <row r="22" spans="2:25" ht="15.75">
      <c r="B22" s="141"/>
      <c r="C22" s="126"/>
      <c r="D22" s="117"/>
      <c r="E22" s="115"/>
      <c r="F22" s="3"/>
      <c r="G22" s="3"/>
      <c r="H22" s="3"/>
      <c r="I22" s="3"/>
      <c r="J22" s="3"/>
      <c r="K22" s="3"/>
      <c r="L22" s="127"/>
      <c r="M22" s="142"/>
      <c r="P22" s="121"/>
      <c r="Q22" s="121"/>
      <c r="R22" s="121"/>
      <c r="S22" s="121"/>
      <c r="T22" s="121"/>
      <c r="U22" s="121"/>
      <c r="V22" s="121"/>
      <c r="W22" s="121"/>
      <c r="X22" s="121"/>
      <c r="Y22" s="121"/>
    </row>
    <row r="23" spans="2:25" ht="15.75">
      <c r="B23" s="141"/>
      <c r="C23" s="126"/>
      <c r="D23" s="116" t="s">
        <v>601</v>
      </c>
      <c r="E23" s="1353"/>
      <c r="F23" s="1353"/>
      <c r="G23" s="116"/>
      <c r="H23" s="116"/>
      <c r="I23" s="116" t="s">
        <v>602</v>
      </c>
      <c r="J23" s="116"/>
      <c r="K23" s="116"/>
      <c r="L23" s="446"/>
      <c r="M23" s="142"/>
      <c r="P23" s="121"/>
      <c r="Q23" s="121"/>
      <c r="R23" s="121"/>
      <c r="S23" s="121"/>
      <c r="T23" s="121"/>
      <c r="U23" s="121"/>
      <c r="V23" s="121"/>
      <c r="W23" s="121"/>
      <c r="X23" s="121"/>
      <c r="Y23" s="121"/>
    </row>
    <row r="24" spans="2:25" ht="15.75">
      <c r="B24" s="141"/>
      <c r="C24" s="126"/>
      <c r="D24" s="117"/>
      <c r="E24" s="115"/>
      <c r="F24" s="3"/>
      <c r="G24" s="3"/>
      <c r="H24" s="3"/>
      <c r="I24" s="3"/>
      <c r="J24" s="3"/>
      <c r="K24" s="3"/>
      <c r="L24" s="127"/>
      <c r="M24" s="142"/>
      <c r="P24" s="121"/>
      <c r="Q24" s="121"/>
      <c r="R24" s="121"/>
      <c r="S24" s="121"/>
      <c r="T24" s="121"/>
      <c r="U24" s="121"/>
      <c r="V24" s="121"/>
      <c r="W24" s="121"/>
      <c r="X24" s="121"/>
      <c r="Y24" s="121"/>
    </row>
    <row r="25" spans="2:13" ht="15.75">
      <c r="B25" s="141"/>
      <c r="C25" s="126"/>
      <c r="D25" s="340" t="s">
        <v>558</v>
      </c>
      <c r="E25" s="340"/>
      <c r="F25" s="341"/>
      <c r="G25" s="3"/>
      <c r="H25" s="3"/>
      <c r="I25" s="3"/>
      <c r="J25" s="3"/>
      <c r="K25" s="3"/>
      <c r="L25" s="127"/>
      <c r="M25" s="142"/>
    </row>
    <row r="26" spans="2:13" ht="15.75">
      <c r="B26" s="141"/>
      <c r="C26" s="126"/>
      <c r="D26" s="116" t="s">
        <v>505</v>
      </c>
      <c r="E26" s="115"/>
      <c r="F26" s="3"/>
      <c r="G26" s="3"/>
      <c r="H26" s="3"/>
      <c r="I26" s="3"/>
      <c r="J26" s="3"/>
      <c r="K26" s="3"/>
      <c r="L26" s="127"/>
      <c r="M26" s="142"/>
    </row>
    <row r="27" spans="2:13" ht="15.75">
      <c r="B27" s="141"/>
      <c r="C27" s="126"/>
      <c r="D27" s="441" t="s">
        <v>506</v>
      </c>
      <c r="E27" s="1348"/>
      <c r="F27" s="1348"/>
      <c r="G27" s="1348"/>
      <c r="H27" s="1348"/>
      <c r="I27" s="3"/>
      <c r="J27" s="3"/>
      <c r="K27" s="3"/>
      <c r="L27" s="127"/>
      <c r="M27" s="142"/>
    </row>
    <row r="28" spans="2:13" ht="15.75">
      <c r="B28" s="141"/>
      <c r="C28" s="126"/>
      <c r="D28" s="442"/>
      <c r="E28" s="443"/>
      <c r="F28" s="444"/>
      <c r="G28" s="444"/>
      <c r="H28" s="444"/>
      <c r="I28" s="3"/>
      <c r="J28" s="3"/>
      <c r="K28" s="3"/>
      <c r="L28" s="127"/>
      <c r="M28" s="142"/>
    </row>
    <row r="29" spans="2:13" ht="15.75">
      <c r="B29" s="141"/>
      <c r="C29" s="126"/>
      <c r="D29" s="441" t="s">
        <v>513</v>
      </c>
      <c r="E29" s="1348"/>
      <c r="F29" s="1348"/>
      <c r="G29" s="1348"/>
      <c r="H29" s="1348"/>
      <c r="I29" s="3"/>
      <c r="J29" s="3"/>
      <c r="K29" s="3"/>
      <c r="L29" s="127"/>
      <c r="M29" s="142"/>
    </row>
    <row r="30" spans="2:13" ht="15.75">
      <c r="B30" s="141"/>
      <c r="C30" s="126"/>
      <c r="D30" s="1335"/>
      <c r="E30" s="1335"/>
      <c r="F30" s="1335"/>
      <c r="G30" s="1335"/>
      <c r="H30" s="1335"/>
      <c r="I30" s="3"/>
      <c r="J30" s="3"/>
      <c r="K30" s="3"/>
      <c r="L30" s="127"/>
      <c r="M30" s="142"/>
    </row>
    <row r="31" spans="2:13" ht="15.75">
      <c r="B31" s="141"/>
      <c r="C31" s="126"/>
      <c r="D31" s="1347"/>
      <c r="E31" s="1347"/>
      <c r="F31" s="1347"/>
      <c r="G31" s="1347"/>
      <c r="H31" s="1347"/>
      <c r="I31" s="3"/>
      <c r="J31" s="3"/>
      <c r="K31" s="3"/>
      <c r="L31" s="127"/>
      <c r="M31" s="142"/>
    </row>
    <row r="32" spans="2:13" ht="15.75">
      <c r="B32" s="141"/>
      <c r="C32" s="126"/>
      <c r="D32" s="445" t="s">
        <v>527</v>
      </c>
      <c r="E32" s="1349"/>
      <c r="F32" s="1349"/>
      <c r="G32" s="1349"/>
      <c r="H32" s="1349"/>
      <c r="I32" s="3"/>
      <c r="J32" s="3"/>
      <c r="K32" s="3"/>
      <c r="L32" s="127"/>
      <c r="M32" s="142"/>
    </row>
    <row r="33" spans="2:13" ht="15.75">
      <c r="B33" s="141"/>
      <c r="C33" s="126"/>
      <c r="D33" s="116"/>
      <c r="E33" s="115"/>
      <c r="F33" s="3"/>
      <c r="G33" s="3"/>
      <c r="H33" s="3"/>
      <c r="I33" s="3"/>
      <c r="J33" s="3"/>
      <c r="K33" s="3"/>
      <c r="L33" s="127"/>
      <c r="M33" s="142"/>
    </row>
    <row r="34" spans="2:13" ht="15">
      <c r="B34" s="141"/>
      <c r="C34" s="126"/>
      <c r="D34" s="115"/>
      <c r="E34" s="115"/>
      <c r="F34" s="3"/>
      <c r="G34" s="3"/>
      <c r="H34" s="3"/>
      <c r="I34" s="3"/>
      <c r="J34" s="3"/>
      <c r="K34" s="3"/>
      <c r="L34" s="127"/>
      <c r="M34" s="142"/>
    </row>
    <row r="35" spans="2:13" ht="15">
      <c r="B35" s="141"/>
      <c r="C35" s="126"/>
      <c r="D35" s="115"/>
      <c r="E35" s="115"/>
      <c r="F35" s="3"/>
      <c r="G35" s="3"/>
      <c r="H35" s="3"/>
      <c r="I35" s="3"/>
      <c r="J35" s="3"/>
      <c r="K35" s="3"/>
      <c r="L35" s="127"/>
      <c r="M35" s="142"/>
    </row>
    <row r="36" spans="2:13" ht="15">
      <c r="B36" s="141"/>
      <c r="C36" s="126"/>
      <c r="D36" s="115"/>
      <c r="E36" s="115"/>
      <c r="F36" s="3"/>
      <c r="G36" s="3"/>
      <c r="H36" s="3"/>
      <c r="I36" s="3"/>
      <c r="J36" s="3"/>
      <c r="K36" s="3"/>
      <c r="L36" s="127"/>
      <c r="M36" s="142"/>
    </row>
    <row r="37" spans="2:13" ht="15">
      <c r="B37" s="141"/>
      <c r="C37" s="126"/>
      <c r="D37" s="115"/>
      <c r="E37" s="115"/>
      <c r="F37" s="3"/>
      <c r="G37" s="3"/>
      <c r="H37" s="3"/>
      <c r="I37" s="3"/>
      <c r="J37" s="3"/>
      <c r="K37" s="3"/>
      <c r="L37" s="127"/>
      <c r="M37" s="142"/>
    </row>
    <row r="38" spans="2:13" ht="15">
      <c r="B38" s="141"/>
      <c r="C38" s="126"/>
      <c r="D38" s="115"/>
      <c r="E38" s="115"/>
      <c r="F38" s="3"/>
      <c r="G38" s="3"/>
      <c r="H38" s="3"/>
      <c r="I38" s="3"/>
      <c r="J38" s="3"/>
      <c r="K38" s="3"/>
      <c r="L38" s="127"/>
      <c r="M38" s="142"/>
    </row>
    <row r="39" spans="2:13" ht="15">
      <c r="B39" s="141"/>
      <c r="C39" s="126"/>
      <c r="D39" s="115"/>
      <c r="E39" s="115"/>
      <c r="F39" s="3"/>
      <c r="G39" s="3"/>
      <c r="H39" s="3"/>
      <c r="I39" s="3"/>
      <c r="J39" s="3"/>
      <c r="K39" s="3"/>
      <c r="L39" s="127"/>
      <c r="M39" s="142"/>
    </row>
    <row r="40" spans="2:13" ht="15">
      <c r="B40" s="141"/>
      <c r="C40" s="126"/>
      <c r="D40" s="115"/>
      <c r="E40" s="115"/>
      <c r="F40" s="3"/>
      <c r="G40" s="3"/>
      <c r="H40" s="3"/>
      <c r="I40" s="3"/>
      <c r="J40" s="3"/>
      <c r="K40" s="3"/>
      <c r="L40" s="127"/>
      <c r="M40" s="142"/>
    </row>
    <row r="41" spans="2:13" ht="15">
      <c r="B41" s="141"/>
      <c r="C41" s="126"/>
      <c r="D41" s="115"/>
      <c r="E41" s="115"/>
      <c r="F41" s="3"/>
      <c r="G41" s="3"/>
      <c r="H41" s="3"/>
      <c r="I41" s="3"/>
      <c r="J41" s="3"/>
      <c r="K41" s="3"/>
      <c r="L41" s="127"/>
      <c r="M41" s="142"/>
    </row>
    <row r="42" spans="2:13" ht="15.75" thickBot="1">
      <c r="B42" s="141"/>
      <c r="C42" s="130"/>
      <c r="D42" s="131"/>
      <c r="E42" s="131"/>
      <c r="F42" s="132"/>
      <c r="G42" s="132"/>
      <c r="H42" s="132"/>
      <c r="I42" s="132"/>
      <c r="J42" s="132"/>
      <c r="K42" s="132"/>
      <c r="L42" s="133"/>
      <c r="M42" s="142"/>
    </row>
    <row r="43" spans="2:13" ht="15">
      <c r="B43" s="141"/>
      <c r="C43" s="135"/>
      <c r="D43" s="135"/>
      <c r="E43" s="135"/>
      <c r="F43" s="136"/>
      <c r="G43" s="136"/>
      <c r="H43" s="136"/>
      <c r="I43" s="136"/>
      <c r="J43" s="136"/>
      <c r="K43" s="136"/>
      <c r="L43" s="136"/>
      <c r="M43" s="142"/>
    </row>
    <row r="44" spans="2:13" ht="15" customHeight="1" thickBot="1">
      <c r="B44" s="143"/>
      <c r="C44" s="144"/>
      <c r="D44" s="144"/>
      <c r="E44" s="144"/>
      <c r="F44" s="144"/>
      <c r="G44" s="144"/>
      <c r="H44" s="144"/>
      <c r="I44" s="144"/>
      <c r="J44" s="144"/>
      <c r="K44" s="144"/>
      <c r="L44" s="144"/>
      <c r="M44" s="145"/>
    </row>
    <row r="45" ht="15.75" thickTop="1"/>
  </sheetData>
  <sheetProtection password="DE92" sheet="1" objects="1" scenarios="1" selectLockedCells="1"/>
  <mergeCells count="17">
    <mergeCell ref="C5:L5"/>
    <mergeCell ref="D31:H31"/>
    <mergeCell ref="E29:H29"/>
    <mergeCell ref="E32:H32"/>
    <mergeCell ref="C8:L14"/>
    <mergeCell ref="E27:H27"/>
    <mergeCell ref="E23:F23"/>
    <mergeCell ref="O3:Q4"/>
    <mergeCell ref="J17:J19"/>
    <mergeCell ref="P7:Q7"/>
    <mergeCell ref="P8:Q8"/>
    <mergeCell ref="P9:Q9"/>
    <mergeCell ref="D30:H30"/>
    <mergeCell ref="P10:Q10"/>
    <mergeCell ref="P11:Q11"/>
    <mergeCell ref="O6:Q6"/>
    <mergeCell ref="C4:L4"/>
  </mergeCells>
  <printOptions/>
  <pageMargins left="0.53" right="0.51" top="0.9448818897637796" bottom="0.5118110236220472"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8" tint="-0.4999699890613556"/>
  </sheetPr>
  <dimension ref="B2:K55"/>
  <sheetViews>
    <sheetView showGridLines="0" showRowColHeaders="0" zoomScalePageLayoutView="0" workbookViewId="0" topLeftCell="A1">
      <selection activeCell="M15" sqref="M15"/>
    </sheetView>
  </sheetViews>
  <sheetFormatPr defaultColWidth="9.140625" defaultRowHeight="12.75"/>
  <cols>
    <col min="1" max="1" width="3.00390625" style="0" customWidth="1"/>
    <col min="10" max="10" width="11.140625" style="0" customWidth="1"/>
  </cols>
  <sheetData>
    <row r="2" spans="2:11" ht="15.75">
      <c r="B2" s="1359" t="s">
        <v>453</v>
      </c>
      <c r="C2" s="1359"/>
      <c r="D2" s="1359"/>
      <c r="E2" s="1359"/>
      <c r="F2" s="1359"/>
      <c r="G2" s="1359"/>
      <c r="H2" s="1359"/>
      <c r="I2" s="1359"/>
      <c r="J2" s="1359"/>
      <c r="K2" s="1359"/>
    </row>
    <row r="3" spans="2:11" ht="15.75">
      <c r="B3" s="1359" t="s">
        <v>454</v>
      </c>
      <c r="C3" s="1359"/>
      <c r="D3" s="1359"/>
      <c r="E3" s="1359"/>
      <c r="F3" s="1359"/>
      <c r="G3" s="1359"/>
      <c r="H3" s="1359"/>
      <c r="I3" s="1359"/>
      <c r="J3" s="1359"/>
      <c r="K3" s="1359"/>
    </row>
    <row r="4" spans="2:11" ht="15.75">
      <c r="B4" s="1359" t="s">
        <v>455</v>
      </c>
      <c r="C4" s="1359"/>
      <c r="D4" s="1359"/>
      <c r="E4" s="1359"/>
      <c r="F4" s="1359"/>
      <c r="G4" s="1359"/>
      <c r="H4" s="1359"/>
      <c r="I4" s="1359"/>
      <c r="J4" s="1359"/>
      <c r="K4" s="1359"/>
    </row>
    <row r="5" spans="2:11" ht="15.75">
      <c r="B5" s="153"/>
      <c r="C5" s="153"/>
      <c r="D5" s="153"/>
      <c r="E5" s="153"/>
      <c r="F5" s="153"/>
      <c r="G5" s="153"/>
      <c r="H5" s="153"/>
      <c r="I5" s="153"/>
      <c r="J5" s="153"/>
      <c r="K5" s="153"/>
    </row>
    <row r="6" spans="2:11" ht="14.25">
      <c r="B6" s="154" t="s">
        <v>456</v>
      </c>
      <c r="C6" s="154"/>
      <c r="D6" s="154"/>
      <c r="E6" s="154"/>
      <c r="F6" s="154"/>
      <c r="G6" s="154"/>
      <c r="H6" s="154"/>
      <c r="I6" s="154"/>
      <c r="J6" s="154"/>
      <c r="K6" s="154"/>
    </row>
    <row r="7" spans="2:11" ht="14.25">
      <c r="B7" s="154"/>
      <c r="C7" s="154"/>
      <c r="D7" s="154"/>
      <c r="E7" s="154"/>
      <c r="F7" s="154"/>
      <c r="G7" s="154"/>
      <c r="H7" s="154"/>
      <c r="I7" s="154"/>
      <c r="J7" s="154"/>
      <c r="K7" s="154"/>
    </row>
    <row r="8" spans="2:11" ht="14.25">
      <c r="B8" s="154" t="s">
        <v>457</v>
      </c>
      <c r="C8" s="154"/>
      <c r="D8" s="154"/>
      <c r="E8" s="154"/>
      <c r="F8" s="154"/>
      <c r="G8" s="154"/>
      <c r="H8" s="154"/>
      <c r="I8" s="154"/>
      <c r="J8" s="154"/>
      <c r="K8" s="154"/>
    </row>
    <row r="9" spans="2:11" ht="14.25">
      <c r="B9" s="154"/>
      <c r="C9" s="154"/>
      <c r="D9" s="154"/>
      <c r="E9" s="154"/>
      <c r="F9" s="154"/>
      <c r="G9" s="154"/>
      <c r="H9" s="154"/>
      <c r="I9" s="154"/>
      <c r="J9" s="154"/>
      <c r="K9" s="154"/>
    </row>
    <row r="10" spans="2:11" ht="14.25">
      <c r="B10" s="154" t="s">
        <v>458</v>
      </c>
      <c r="C10" s="154"/>
      <c r="D10" s="154"/>
      <c r="E10" s="154"/>
      <c r="F10" s="154"/>
      <c r="G10" s="154"/>
      <c r="H10" s="154"/>
      <c r="I10" s="154"/>
      <c r="J10" s="154"/>
      <c r="K10" s="154"/>
    </row>
    <row r="11" spans="2:11" ht="14.25">
      <c r="B11" s="154"/>
      <c r="C11" s="154"/>
      <c r="D11" s="154"/>
      <c r="E11" s="154"/>
      <c r="F11" s="154"/>
      <c r="G11" s="154"/>
      <c r="H11" s="154"/>
      <c r="I11" s="154"/>
      <c r="J11" s="154"/>
      <c r="K11" s="154"/>
    </row>
    <row r="12" spans="2:11" ht="14.25">
      <c r="B12" s="154" t="s">
        <v>459</v>
      </c>
      <c r="C12" s="154"/>
      <c r="D12" s="154"/>
      <c r="E12" s="154"/>
      <c r="F12" s="154"/>
      <c r="G12" s="154"/>
      <c r="H12" s="154"/>
      <c r="I12" s="154"/>
      <c r="J12" s="154"/>
      <c r="K12" s="154"/>
    </row>
    <row r="13" spans="2:11" ht="14.25">
      <c r="B13" s="154" t="s">
        <v>460</v>
      </c>
      <c r="C13" s="154"/>
      <c r="D13" s="154"/>
      <c r="E13" s="154"/>
      <c r="F13" s="154"/>
      <c r="G13" s="154"/>
      <c r="H13" s="154"/>
      <c r="I13" s="154"/>
      <c r="J13" s="154"/>
      <c r="K13" s="154"/>
    </row>
    <row r="14" spans="2:11" ht="14.25">
      <c r="B14" s="154"/>
      <c r="C14" s="154"/>
      <c r="D14" s="154"/>
      <c r="E14" s="154"/>
      <c r="F14" s="154"/>
      <c r="G14" s="154"/>
      <c r="H14" s="154"/>
      <c r="I14" s="154"/>
      <c r="J14" s="154"/>
      <c r="K14" s="154"/>
    </row>
    <row r="15" spans="2:11" ht="14.25">
      <c r="B15" s="154" t="s">
        <v>461</v>
      </c>
      <c r="C15" s="154"/>
      <c r="D15" s="154"/>
      <c r="E15" s="154"/>
      <c r="F15" s="154"/>
      <c r="G15" s="154"/>
      <c r="H15" s="154"/>
      <c r="I15" s="154"/>
      <c r="J15" s="154"/>
      <c r="K15" s="154"/>
    </row>
    <row r="16" spans="2:11" ht="14.25">
      <c r="B16" s="1357" t="s">
        <v>462</v>
      </c>
      <c r="C16" s="1357"/>
      <c r="D16" s="1357"/>
      <c r="E16" s="1357"/>
      <c r="F16" s="1357"/>
      <c r="G16" s="1357"/>
      <c r="H16" s="1357"/>
      <c r="I16" s="1357"/>
      <c r="J16" s="1357"/>
      <c r="K16" s="1357"/>
    </row>
    <row r="17" spans="2:11" ht="14.25">
      <c r="B17" s="154" t="s">
        <v>463</v>
      </c>
      <c r="C17" s="154"/>
      <c r="D17" s="154"/>
      <c r="E17" s="154"/>
      <c r="F17" s="154"/>
      <c r="G17" s="154"/>
      <c r="H17" s="154"/>
      <c r="I17" s="154"/>
      <c r="J17" s="154"/>
      <c r="K17" s="154"/>
    </row>
    <row r="18" spans="2:11" ht="14.25">
      <c r="B18" s="1357" t="s">
        <v>464</v>
      </c>
      <c r="C18" s="1357"/>
      <c r="D18" s="1357"/>
      <c r="E18" s="1357"/>
      <c r="F18" s="1357"/>
      <c r="G18" s="1357"/>
      <c r="H18" s="1357"/>
      <c r="I18" s="1357"/>
      <c r="J18" s="1357"/>
      <c r="K18" s="1357"/>
    </row>
    <row r="19" spans="2:11" ht="14.25">
      <c r="B19" s="154"/>
      <c r="C19" s="154"/>
      <c r="D19" s="154"/>
      <c r="E19" s="154"/>
      <c r="F19" s="154"/>
      <c r="G19" s="154"/>
      <c r="H19" s="154"/>
      <c r="I19" s="154"/>
      <c r="J19" s="154"/>
      <c r="K19" s="154"/>
    </row>
    <row r="20" spans="2:11" ht="14.25">
      <c r="B20" s="154" t="s">
        <v>465</v>
      </c>
      <c r="C20" s="154"/>
      <c r="D20" s="154"/>
      <c r="E20" s="154"/>
      <c r="F20" s="154"/>
      <c r="G20" s="154"/>
      <c r="H20" s="154"/>
      <c r="I20" s="154"/>
      <c r="J20" s="154"/>
      <c r="K20" s="154"/>
    </row>
    <row r="21" spans="2:11" ht="14.25">
      <c r="B21" s="154" t="s">
        <v>466</v>
      </c>
      <c r="C21" s="154"/>
      <c r="D21" s="154"/>
      <c r="E21" s="154"/>
      <c r="F21" s="154"/>
      <c r="G21" s="154"/>
      <c r="H21" s="154"/>
      <c r="I21" s="154"/>
      <c r="J21" s="154"/>
      <c r="K21" s="154"/>
    </row>
    <row r="22" spans="2:11" ht="14.25">
      <c r="B22" s="1357" t="s">
        <v>467</v>
      </c>
      <c r="C22" s="1357"/>
      <c r="D22" s="1357"/>
      <c r="E22" s="1357"/>
      <c r="F22" s="1357"/>
      <c r="G22" s="1357"/>
      <c r="H22" s="1357"/>
      <c r="I22" s="1357"/>
      <c r="J22" s="1357"/>
      <c r="K22" s="1357"/>
    </row>
    <row r="23" spans="2:11" ht="14.25">
      <c r="B23" s="155"/>
      <c r="C23" s="155"/>
      <c r="D23" s="155"/>
      <c r="E23" s="155"/>
      <c r="F23" s="155"/>
      <c r="G23" s="155"/>
      <c r="H23" s="155"/>
      <c r="I23" s="155"/>
      <c r="J23" s="155"/>
      <c r="K23" s="155"/>
    </row>
    <row r="24" spans="2:11" ht="14.25">
      <c r="B24" s="155"/>
      <c r="C24" s="155"/>
      <c r="D24" s="155"/>
      <c r="E24" s="1354" t="s">
        <v>468</v>
      </c>
      <c r="F24" s="1354"/>
      <c r="G24" s="1354"/>
      <c r="H24" s="1354"/>
      <c r="I24" s="155"/>
      <c r="J24" s="155"/>
      <c r="K24" s="155"/>
    </row>
    <row r="25" spans="2:11" ht="14.25">
      <c r="B25" s="154"/>
      <c r="C25" s="154"/>
      <c r="D25" s="154"/>
      <c r="E25" s="154"/>
      <c r="F25" s="154"/>
      <c r="G25" s="154"/>
      <c r="H25" s="154"/>
      <c r="I25" s="154"/>
      <c r="J25" s="154"/>
      <c r="K25" s="154"/>
    </row>
    <row r="26" spans="2:11" ht="14.25">
      <c r="B26" s="1355" t="s">
        <v>469</v>
      </c>
      <c r="C26" s="1355"/>
      <c r="D26" s="1355"/>
      <c r="E26" s="1355"/>
      <c r="F26" s="1355"/>
      <c r="G26" s="1355"/>
      <c r="H26" s="1355"/>
      <c r="I26" s="1355"/>
      <c r="J26" s="1355"/>
      <c r="K26" s="1355"/>
    </row>
    <row r="27" spans="2:11" ht="14.25">
      <c r="B27" s="154"/>
      <c r="C27" s="154"/>
      <c r="D27" s="154"/>
      <c r="E27" s="154"/>
      <c r="F27" s="154"/>
      <c r="G27" s="154"/>
      <c r="H27" s="154"/>
      <c r="I27" s="154"/>
      <c r="J27" s="154"/>
      <c r="K27" s="154"/>
    </row>
    <row r="28" spans="2:11" ht="14.25">
      <c r="B28" s="156" t="s">
        <v>470</v>
      </c>
      <c r="C28" s="156"/>
      <c r="D28" s="156"/>
      <c r="E28" s="156"/>
      <c r="F28" s="156"/>
      <c r="G28" s="156"/>
      <c r="H28" s="156"/>
      <c r="I28" s="156"/>
      <c r="J28" s="156"/>
      <c r="K28" s="156"/>
    </row>
    <row r="29" spans="2:11" ht="14.25">
      <c r="B29" s="154"/>
      <c r="C29" s="154"/>
      <c r="D29" s="154"/>
      <c r="E29" s="154"/>
      <c r="F29" s="154"/>
      <c r="G29" s="154"/>
      <c r="H29" s="154"/>
      <c r="I29" s="154"/>
      <c r="J29" s="154"/>
      <c r="K29" s="154"/>
    </row>
    <row r="30" spans="2:11" ht="14.25">
      <c r="B30" s="1356" t="s">
        <v>471</v>
      </c>
      <c r="C30" s="1356"/>
      <c r="D30" s="1356"/>
      <c r="E30" s="1356"/>
      <c r="F30" s="1356"/>
      <c r="G30" s="1356"/>
      <c r="H30" s="1356"/>
      <c r="I30" s="1356"/>
      <c r="J30" s="1356"/>
      <c r="K30" s="1356"/>
    </row>
    <row r="31" spans="2:11" ht="14.25">
      <c r="B31" s="154"/>
      <c r="C31" s="154"/>
      <c r="D31" s="154"/>
      <c r="E31" s="154"/>
      <c r="F31" s="154"/>
      <c r="G31" s="154"/>
      <c r="H31" s="154"/>
      <c r="I31" s="154"/>
      <c r="J31" s="154"/>
      <c r="K31" s="154"/>
    </row>
    <row r="32" spans="2:11" ht="14.25">
      <c r="B32" s="1356" t="s">
        <v>472</v>
      </c>
      <c r="C32" s="1356"/>
      <c r="D32" s="1356"/>
      <c r="E32" s="1356"/>
      <c r="F32" s="1356"/>
      <c r="G32" s="1356"/>
      <c r="H32" s="1356"/>
      <c r="I32" s="1356"/>
      <c r="J32" s="1356"/>
      <c r="K32" s="1356"/>
    </row>
    <row r="33" spans="2:11" ht="14.25">
      <c r="B33" s="154"/>
      <c r="C33" s="154"/>
      <c r="D33" s="154"/>
      <c r="E33" s="154"/>
      <c r="F33" s="154"/>
      <c r="G33" s="154"/>
      <c r="H33" s="154"/>
      <c r="I33" s="154"/>
      <c r="J33" s="154"/>
      <c r="K33" s="154"/>
    </row>
    <row r="34" spans="2:11" ht="14.25">
      <c r="B34" s="1357" t="s">
        <v>473</v>
      </c>
      <c r="C34" s="1357"/>
      <c r="D34" s="1357"/>
      <c r="E34" s="1357"/>
      <c r="F34" s="1357"/>
      <c r="G34" s="1357"/>
      <c r="H34" s="1357"/>
      <c r="I34" s="1357"/>
      <c r="J34" s="1357"/>
      <c r="K34" s="1357"/>
    </row>
    <row r="35" spans="2:11" ht="14.25">
      <c r="B35" s="154"/>
      <c r="C35" s="154"/>
      <c r="D35" s="154"/>
      <c r="E35" s="154"/>
      <c r="F35" s="154"/>
      <c r="G35" s="154"/>
      <c r="H35" s="154"/>
      <c r="I35" s="154"/>
      <c r="J35" s="154"/>
      <c r="K35" s="154"/>
    </row>
    <row r="36" spans="2:11" ht="14.25">
      <c r="B36" s="154"/>
      <c r="C36" s="154"/>
      <c r="D36" s="154"/>
      <c r="E36" s="154"/>
      <c r="F36" s="154"/>
      <c r="G36" s="154"/>
      <c r="H36" s="154"/>
      <c r="I36" s="154"/>
      <c r="J36" s="154"/>
      <c r="K36" s="154"/>
    </row>
    <row r="37" spans="2:11" ht="14.25">
      <c r="B37" s="1358" t="s">
        <v>474</v>
      </c>
      <c r="C37" s="1358"/>
      <c r="D37" s="1358"/>
      <c r="E37" s="1358"/>
      <c r="F37" s="1358"/>
      <c r="G37" s="1358"/>
      <c r="H37" s="1358"/>
      <c r="I37" s="1358"/>
      <c r="J37" s="1358"/>
      <c r="K37" s="1358"/>
    </row>
    <row r="38" spans="2:11" ht="14.25">
      <c r="B38" s="154" t="s">
        <v>475</v>
      </c>
      <c r="C38" s="154"/>
      <c r="D38" s="154"/>
      <c r="E38" s="154"/>
      <c r="F38" s="154"/>
      <c r="G38" s="154"/>
      <c r="H38" s="154"/>
      <c r="I38" s="154"/>
      <c r="J38" s="154"/>
      <c r="K38" s="154"/>
    </row>
    <row r="39" spans="2:11" ht="14.25">
      <c r="B39" s="154" t="s">
        <v>476</v>
      </c>
      <c r="C39" s="154"/>
      <c r="D39" s="154"/>
      <c r="E39" s="154"/>
      <c r="F39" s="154"/>
      <c r="G39" s="154"/>
      <c r="H39" s="154"/>
      <c r="I39" s="154"/>
      <c r="J39" s="154"/>
      <c r="K39" s="154"/>
    </row>
    <row r="40" spans="2:11" ht="14.25">
      <c r="B40" s="154"/>
      <c r="C40" s="154"/>
      <c r="D40" s="154"/>
      <c r="E40" s="154"/>
      <c r="F40" s="154"/>
      <c r="G40" s="154"/>
      <c r="H40" s="154"/>
      <c r="I40" s="154"/>
      <c r="J40" s="154"/>
      <c r="K40" s="154"/>
    </row>
    <row r="41" spans="2:11" ht="14.25">
      <c r="B41" s="154" t="s">
        <v>477</v>
      </c>
      <c r="C41" s="154"/>
      <c r="D41" s="154"/>
      <c r="E41" s="154"/>
      <c r="F41" s="154"/>
      <c r="G41" s="154"/>
      <c r="H41" s="154"/>
      <c r="I41" s="154"/>
      <c r="J41" s="154"/>
      <c r="K41" s="154"/>
    </row>
    <row r="42" spans="2:11" ht="14.25">
      <c r="B42" s="154" t="s">
        <v>478</v>
      </c>
      <c r="C42" s="154"/>
      <c r="D42" s="154"/>
      <c r="E42" s="154"/>
      <c r="F42" s="154"/>
      <c r="G42" s="154"/>
      <c r="H42" s="154"/>
      <c r="I42" s="154"/>
      <c r="J42" s="154"/>
      <c r="K42" s="154"/>
    </row>
    <row r="43" spans="2:11" ht="14.25">
      <c r="B43" s="154" t="s">
        <v>479</v>
      </c>
      <c r="C43" s="154"/>
      <c r="D43" s="154"/>
      <c r="E43" s="154"/>
      <c r="F43" s="154"/>
      <c r="G43" s="154"/>
      <c r="H43" s="154"/>
      <c r="I43" s="154"/>
      <c r="J43" s="154"/>
      <c r="K43" s="154"/>
    </row>
    <row r="44" spans="2:11" ht="14.25">
      <c r="B44" s="154"/>
      <c r="C44" s="154"/>
      <c r="D44" s="154"/>
      <c r="E44" s="154"/>
      <c r="F44" s="154"/>
      <c r="G44" s="154"/>
      <c r="H44" s="154"/>
      <c r="I44" s="154"/>
      <c r="J44" s="154"/>
      <c r="K44" s="154"/>
    </row>
    <row r="45" spans="2:11" ht="14.25">
      <c r="B45" s="154"/>
      <c r="C45" s="154"/>
      <c r="D45" s="154"/>
      <c r="E45" s="154"/>
      <c r="F45" s="154"/>
      <c r="G45" s="154"/>
      <c r="H45" s="154"/>
      <c r="I45" s="154"/>
      <c r="J45" s="154"/>
      <c r="K45" s="154"/>
    </row>
    <row r="46" spans="2:11" ht="14.25">
      <c r="B46" s="154"/>
      <c r="C46" s="154"/>
      <c r="D46" s="154"/>
      <c r="E46" s="154"/>
      <c r="F46" s="154"/>
      <c r="G46" s="154"/>
      <c r="H46" s="154"/>
      <c r="I46" s="154"/>
      <c r="J46" s="154"/>
      <c r="K46" s="154"/>
    </row>
    <row r="47" spans="2:11" ht="14.25">
      <c r="B47" s="154"/>
      <c r="C47" s="154"/>
      <c r="D47" s="154"/>
      <c r="E47" s="154"/>
      <c r="F47" s="154"/>
      <c r="G47" s="154"/>
      <c r="H47" s="154"/>
      <c r="I47" s="154"/>
      <c r="J47" s="154"/>
      <c r="K47" s="154"/>
    </row>
    <row r="48" spans="2:11" ht="14.25">
      <c r="B48" s="154" t="s">
        <v>480</v>
      </c>
      <c r="C48" s="154"/>
      <c r="D48" s="154"/>
      <c r="E48" s="154"/>
      <c r="F48" s="154"/>
      <c r="G48" s="154"/>
      <c r="H48" s="154"/>
      <c r="I48" s="154"/>
      <c r="J48" s="154"/>
      <c r="K48" s="154"/>
    </row>
    <row r="49" spans="2:11" ht="14.25">
      <c r="B49" s="154" t="s">
        <v>481</v>
      </c>
      <c r="C49" s="154"/>
      <c r="D49" s="154"/>
      <c r="E49" s="154"/>
      <c r="F49" s="154"/>
      <c r="G49" s="154"/>
      <c r="H49" s="154"/>
      <c r="I49" s="154"/>
      <c r="J49" s="154"/>
      <c r="K49" s="154"/>
    </row>
    <row r="50" spans="2:11" ht="14.25">
      <c r="B50" s="154"/>
      <c r="C50" s="154"/>
      <c r="D50" s="154"/>
      <c r="E50" s="154"/>
      <c r="F50" s="154"/>
      <c r="G50" s="154"/>
      <c r="H50" s="154"/>
      <c r="I50" s="154"/>
      <c r="J50" s="154"/>
      <c r="K50" s="154"/>
    </row>
    <row r="51" spans="2:11" ht="14.25">
      <c r="B51" s="154" t="s">
        <v>482</v>
      </c>
      <c r="C51" s="154"/>
      <c r="D51" s="154"/>
      <c r="E51" s="154"/>
      <c r="F51" s="154"/>
      <c r="G51" s="154"/>
      <c r="H51" s="154"/>
      <c r="I51" s="154"/>
      <c r="J51" s="154"/>
      <c r="K51" s="154"/>
    </row>
    <row r="52" spans="2:11" ht="14.25">
      <c r="B52" s="154" t="s">
        <v>483</v>
      </c>
      <c r="C52" s="154"/>
      <c r="D52" s="154"/>
      <c r="E52" s="154"/>
      <c r="F52" s="154"/>
      <c r="G52" s="154"/>
      <c r="H52" s="154"/>
      <c r="I52" s="154"/>
      <c r="J52" s="154"/>
      <c r="K52" s="154"/>
    </row>
    <row r="53" spans="2:11" ht="14.25">
      <c r="B53" s="154" t="s">
        <v>484</v>
      </c>
      <c r="C53" s="154"/>
      <c r="D53" s="154"/>
      <c r="E53" s="154"/>
      <c r="F53" s="154"/>
      <c r="G53" s="154"/>
      <c r="H53" s="154"/>
      <c r="I53" s="154"/>
      <c r="J53" s="154"/>
      <c r="K53" s="154"/>
    </row>
    <row r="54" spans="2:11" ht="14.25">
      <c r="B54" s="154"/>
      <c r="C54" s="154"/>
      <c r="D54" s="154"/>
      <c r="E54" s="154"/>
      <c r="F54" s="154"/>
      <c r="G54" s="154"/>
      <c r="H54" s="154"/>
      <c r="I54" s="154"/>
      <c r="J54" s="154"/>
      <c r="K54" s="154"/>
    </row>
    <row r="55" spans="2:11" ht="14.25">
      <c r="B55" s="154"/>
      <c r="C55" s="154"/>
      <c r="D55" s="154"/>
      <c r="E55" s="154"/>
      <c r="F55" s="154"/>
      <c r="G55" s="154"/>
      <c r="H55" s="154"/>
      <c r="I55" s="154"/>
      <c r="J55" s="154"/>
      <c r="K55" s="154"/>
    </row>
  </sheetData>
  <sheetProtection password="DE92" sheet="1" objects="1" scenarios="1" selectLockedCells="1" selectUnlockedCells="1"/>
  <mergeCells count="12">
    <mergeCell ref="B2:K2"/>
    <mergeCell ref="B3:K3"/>
    <mergeCell ref="B4:K4"/>
    <mergeCell ref="B16:K16"/>
    <mergeCell ref="B18:K18"/>
    <mergeCell ref="B22:K22"/>
    <mergeCell ref="E24:H24"/>
    <mergeCell ref="B26:K26"/>
    <mergeCell ref="B30:K30"/>
    <mergeCell ref="B32:K32"/>
    <mergeCell ref="B34:K34"/>
    <mergeCell ref="B37:K37"/>
  </mergeCells>
  <printOptions/>
  <pageMargins left="0.4" right="0.47" top="0.49" bottom="0.49" header="0.3" footer="0.3"/>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dc:creator>
  <cp:keywords/>
  <dc:description/>
  <cp:lastModifiedBy>MY</cp:lastModifiedBy>
  <cp:lastPrinted>2015-01-26T09:36:18Z</cp:lastPrinted>
  <dcterms:created xsi:type="dcterms:W3CDTF">2013-10-08T16:05:41Z</dcterms:created>
  <dcterms:modified xsi:type="dcterms:W3CDTF">2015-01-31T02:09:57Z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